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https://homebridgeus-my.sharepoint.com/personal/kpaul_homebridge_com/Documents/Documents/REMN Projects/Checklists and Worksheets/"/>
    </mc:Choice>
  </mc:AlternateContent>
  <xr:revisionPtr revIDLastSave="173" documentId="14_{14045CC3-BEFB-41C7-B334-FC68FF878087}" xr6:coauthVersionLast="47" xr6:coauthVersionMax="47" xr10:uidLastSave="{82004FD5-7B54-4BC3-AC63-3C16CCBAF3E9}"/>
  <workbookProtection workbookAlgorithmName="SHA-512" workbookHashValue="EVPTEw2ECiMgDz1bfobayWAxJk/0MX+94/BbfdBpkFblKXit0SL765gNu2zPIurwafYa37fRnZz9lDODZG1K/g==" workbookSaltValue="MfX7akIavajbZSw+EHHesA==" workbookSpinCount="100000" lockStructure="1"/>
  <bookViews>
    <workbookView xWindow="-120" yWindow="-120" windowWidth="24240" windowHeight="13140" xr2:uid="{4264CA24-CA0F-455A-9A33-D3F2A0EACCBB}"/>
  </bookViews>
  <sheets>
    <sheet name="Calculator" sheetId="1" r:id="rId1"/>
    <sheet name="Max Contribution Calc" sheetId="3" r:id="rId2"/>
    <sheet name="Hidden Data" sheetId="2" state="hidden" r:id="rId3"/>
  </sheets>
  <definedNames>
    <definedName name="Buydown">Table2[FHA List]</definedName>
    <definedName name="Buydowns">Table2[FHA List]</definedName>
    <definedName name="FHA">Table2[FHA List]</definedName>
    <definedName name="FHLMC">Table27[FHLMC List]</definedName>
    <definedName name="FNMA">Table28[FNMA List]</definedName>
    <definedName name="JumboAUS">#REF!</definedName>
    <definedName name="JumboElite">Table21118[JumboElite List]</definedName>
    <definedName name="Lender">Table13[Lender List]</definedName>
    <definedName name="ListingAgent">Table1115[ListingAgent List]</definedName>
    <definedName name="Program">Table3[Program List]</definedName>
    <definedName name="Programs">Table3[Program List]</definedName>
    <definedName name="SAOptions">Table1[Access_1099 List]</definedName>
    <definedName name="Seller">Table11[Seller List]</definedName>
    <definedName name="Seller_List">'Hidden Data'!$B$28:$B$73</definedName>
    <definedName name="SellingAgent">Table111516[SellingAgent List]</definedName>
    <definedName name="Simple_Access_PL_Only">Table1617[Access_PL_Only List]</definedName>
    <definedName name="SimpleAccess_1099">Table1[Access_1099 List]</definedName>
    <definedName name="SimpleAccess_BankStatements">Table15[Access_BankStatements List]</definedName>
    <definedName name="SimpleAccess_FullDoc">Table16[Access_FullDoc List]</definedName>
    <definedName name="SimpleAccess_PL_Only">Table1617[Access_PL_Only List]</definedName>
    <definedName name="SimpleAcess_PL_Only">Table1617[Access_PL_Only List]</definedName>
    <definedName name="Subsidy_Source">'Hidden Data'!$B$17:$B$73</definedName>
    <definedName name="SubsidySource">Table12[Subsidy Source]</definedName>
    <definedName name="USDA">Table2810[USDA List]</definedName>
    <definedName name="VA">Table27[FHLMC List]</definedName>
  </definedNames>
  <calcPr calcId="191028"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5" i="3" l="1"/>
  <c r="B14" i="3" s="1"/>
  <c r="T9" i="2" l="1"/>
  <c r="Q9" i="2"/>
  <c r="K9" i="2"/>
  <c r="C17" i="1"/>
  <c r="E13" i="1" s="1"/>
  <c r="N9" i="2"/>
  <c r="G9" i="1"/>
  <c r="G11" i="1"/>
  <c r="G10" i="1"/>
  <c r="C7" i="3" l="1"/>
  <c r="C6" i="3"/>
  <c r="K4" i="2"/>
  <c r="K8" i="2" s="1"/>
  <c r="T5" i="2"/>
  <c r="T6" i="2" s="1"/>
  <c r="Q5" i="2"/>
  <c r="Q6" i="2" s="1"/>
  <c r="N5" i="2"/>
  <c r="N6" i="2" s="1"/>
  <c r="K5" i="2"/>
  <c r="K6" i="2" s="1"/>
  <c r="G12" i="1"/>
  <c r="C18" i="1" l="1"/>
  <c r="C8" i="3" s="1"/>
  <c r="N4" i="2"/>
  <c r="N8" i="2" s="1"/>
  <c r="N10" i="2" s="1"/>
  <c r="K9" i="1" s="1"/>
  <c r="T4" i="2"/>
  <c r="T8" i="2" s="1"/>
  <c r="T10" i="2" s="1"/>
  <c r="K11" i="1" s="1"/>
  <c r="M10" i="1"/>
  <c r="E11" i="1"/>
  <c r="Q4" i="2"/>
  <c r="Q8" i="2" s="1"/>
  <c r="Q10" i="2" s="1"/>
  <c r="K10" i="1" s="1"/>
  <c r="E10" i="1"/>
  <c r="M11" i="1"/>
  <c r="K10" i="2"/>
  <c r="I11" i="1" s="1"/>
  <c r="C19" i="1" l="1"/>
  <c r="C9" i="3" s="1"/>
  <c r="M12" i="1"/>
  <c r="O11" i="1"/>
  <c r="Q11" i="1" s="1"/>
  <c r="I10" i="1"/>
  <c r="O10" i="1" s="1"/>
  <c r="Q10" i="1" s="1"/>
  <c r="I9" i="1"/>
  <c r="O9" i="1" s="1"/>
  <c r="Q9" i="1" s="1"/>
  <c r="K12" i="1"/>
  <c r="I12" i="1"/>
  <c r="L16" i="1" l="1"/>
  <c r="L17" i="1" s="1"/>
  <c r="C10" i="3" s="1"/>
  <c r="C11" i="3" l="1"/>
  <c r="C15" i="3" l="1"/>
  <c r="I5" i="3"/>
  <c r="I7" i="3" s="1"/>
  <c r="I6" i="3" l="1"/>
</calcChain>
</file>

<file path=xl/sharedStrings.xml><?xml version="1.0" encoding="utf-8"?>
<sst xmlns="http://schemas.openxmlformats.org/spreadsheetml/2006/main" count="204" uniqueCount="106">
  <si>
    <t>REMN Temporary Buydown Calculator</t>
  </si>
  <si>
    <t>Customer Name:</t>
  </si>
  <si>
    <t>Loan Number:</t>
  </si>
  <si>
    <t>Subsidy Source:</t>
  </si>
  <si>
    <t>Period</t>
  </si>
  <si>
    <t>Effective Interest Rate</t>
  </si>
  <si>
    <t>Fully Amortized Payment</t>
  </si>
  <si>
    <t>Borrower Payment</t>
  </si>
  <si>
    <t># of Months for Specific Period</t>
  </si>
  <si>
    <t>Buydown Cost (Payment) Monthly</t>
  </si>
  <si>
    <t>Buydown Cost Per Period</t>
  </si>
  <si>
    <t>Purchase Price/Home Value:</t>
  </si>
  <si>
    <t>Loan Amount:</t>
  </si>
  <si>
    <t>Subordinate Financing:</t>
  </si>
  <si>
    <t>Loan Type:</t>
  </si>
  <si>
    <t>Occupancy Type:</t>
  </si>
  <si>
    <t>Remaining Term</t>
  </si>
  <si>
    <t>Note Rate:</t>
  </si>
  <si>
    <t>Financed UFMIP or Funding Fee:</t>
  </si>
  <si>
    <t>Amortization Term (in months):</t>
  </si>
  <si>
    <t>Buydown must be paid by Seller Concession</t>
  </si>
  <si>
    <t>Annual Adjustments</t>
  </si>
  <si>
    <t>Total Buydown Cost</t>
  </si>
  <si>
    <t>LTV/CLTV:</t>
  </si>
  <si>
    <t>Total Buydown Cost as % of Value</t>
  </si>
  <si>
    <r>
      <t xml:space="preserve">Max Interested Party </t>
    </r>
    <r>
      <rPr>
        <b/>
        <sz val="11"/>
        <color rgb="FF7030A0"/>
        <rFont val="Calibri"/>
        <family val="2"/>
        <scheme val="minor"/>
      </rPr>
      <t>%</t>
    </r>
    <r>
      <rPr>
        <b/>
        <sz val="11"/>
        <color theme="1"/>
        <rFont val="Calibri"/>
        <family val="2"/>
        <scheme val="minor"/>
      </rPr>
      <t xml:space="preserve"> Contribution per LPG:</t>
    </r>
  </si>
  <si>
    <r>
      <t xml:space="preserve">Max Interested Party </t>
    </r>
    <r>
      <rPr>
        <b/>
        <sz val="11"/>
        <color rgb="FF0070C0"/>
        <rFont val="Calibri"/>
        <family val="2"/>
        <scheme val="minor"/>
      </rPr>
      <t>$</t>
    </r>
    <r>
      <rPr>
        <b/>
        <sz val="11"/>
        <color theme="1"/>
        <rFont val="Calibri"/>
        <family val="2"/>
        <scheme val="minor"/>
      </rPr>
      <t xml:space="preserve"> Contribution per LPG:</t>
    </r>
  </si>
  <si>
    <t>Maximum Contribution must be compared against ALL fees paid by seller/interested party. Refer to guidelines to ensure accuracy.</t>
  </si>
  <si>
    <t>FNMA/FHLMC ≥ 90.01% CLTV</t>
  </si>
  <si>
    <t>FNMA/FHLMC: 75.01 - 90.00%</t>
  </si>
  <si>
    <t>FNMA/FHLMC: 75.00% or less</t>
  </si>
  <si>
    <t>FHA</t>
  </si>
  <si>
    <t>Follow FNMA/FHLMC Guidance</t>
  </si>
  <si>
    <t>USDA</t>
  </si>
  <si>
    <r>
      <t>VA</t>
    </r>
    <r>
      <rPr>
        <b/>
        <sz val="11"/>
        <color rgb="FFFF0000"/>
        <rFont val="Calibri"/>
        <family val="2"/>
        <scheme val="minor"/>
      </rPr>
      <t>*</t>
    </r>
  </si>
  <si>
    <r>
      <t>4.00%</t>
    </r>
    <r>
      <rPr>
        <b/>
        <sz val="11"/>
        <color rgb="FFFF0000"/>
        <rFont val="Calibri"/>
        <family val="2"/>
        <scheme val="minor"/>
      </rPr>
      <t>*</t>
    </r>
  </si>
  <si>
    <r>
      <t xml:space="preserve">*VA loans: </t>
    </r>
    <r>
      <rPr>
        <i/>
        <sz val="10"/>
        <rFont val="Calibri"/>
        <family val="2"/>
        <scheme val="minor"/>
      </rPr>
      <t>Do not include normal discount points &amp; payment of the buyer's closing costs in contribution limit</t>
    </r>
  </si>
  <si>
    <t>Maximum Contribution Calculator</t>
  </si>
  <si>
    <t>Total Interested Party Contributions ($):</t>
  </si>
  <si>
    <t>Total Interested Party Contributions (%):</t>
  </si>
  <si>
    <r>
      <rPr>
        <b/>
        <i/>
        <sz val="11"/>
        <color rgb="FFFF0000"/>
        <rFont val="Calibri"/>
        <family val="2"/>
        <scheme val="minor"/>
      </rPr>
      <t>***</t>
    </r>
    <r>
      <rPr>
        <b/>
        <sz val="11"/>
        <rFont val="Calibri"/>
        <family val="2"/>
        <scheme val="minor"/>
      </rPr>
      <t>Contribution Available After Subsidy ($):</t>
    </r>
  </si>
  <si>
    <t>Max Allowable Contribution %</t>
  </si>
  <si>
    <t>***"Contribution After Subsidy" amount is to be entered in the Qualifying the Borrower screen as a lump credit</t>
  </si>
  <si>
    <t>Max Allowable Contribution $</t>
  </si>
  <si>
    <t>Buydown Cost %:</t>
  </si>
  <si>
    <t>*The total amount of seller contributions cannot exceed the allowable max as determined by product and LTV. The sales contract must reflect the seller concession dollar amount and include details regarding whether or not this is inclusive of any buydown subsidy</t>
  </si>
  <si>
    <t>Buydown Cost $:</t>
  </si>
  <si>
    <t>Total Contribution as per Contract:</t>
  </si>
  <si>
    <t>Does the Contribution on the Contract Include the Buydown Fee?:</t>
  </si>
  <si>
    <t>LIST VALUES</t>
  </si>
  <si>
    <t>Payment Calculators</t>
  </si>
  <si>
    <t>Program List</t>
  </si>
  <si>
    <t>Occupancy</t>
  </si>
  <si>
    <t>FHA List</t>
  </si>
  <si>
    <t>FULL AMORTIZATION</t>
  </si>
  <si>
    <t>Period 1 Amortization</t>
  </si>
  <si>
    <t>Period 2 Amortization</t>
  </si>
  <si>
    <t>Period 3 Amortization</t>
  </si>
  <si>
    <t>Primary Residence</t>
  </si>
  <si>
    <t>1, 0</t>
  </si>
  <si>
    <t>RATE</t>
  </si>
  <si>
    <t>FHLMC</t>
  </si>
  <si>
    <t xml:space="preserve">Second Home </t>
  </si>
  <si>
    <t>1, 1</t>
  </si>
  <si>
    <t>2, 1</t>
  </si>
  <si>
    <t>Months</t>
  </si>
  <si>
    <t>FNMA</t>
  </si>
  <si>
    <t>Years</t>
  </si>
  <si>
    <t>Yes/No Prompt</t>
  </si>
  <si>
    <t>1, 1, 1</t>
  </si>
  <si>
    <t>Pmts/yr</t>
  </si>
  <si>
    <t>Yes</t>
  </si>
  <si>
    <t>3, 2, 1</t>
  </si>
  <si>
    <t>Int/12</t>
  </si>
  <si>
    <t>No</t>
  </si>
  <si>
    <t>Loan Amt</t>
  </si>
  <si>
    <t>FHLMC List</t>
  </si>
  <si>
    <t>Total Pmt:</t>
  </si>
  <si>
    <t>VA</t>
  </si>
  <si>
    <t>Subsidy Source</t>
  </si>
  <si>
    <t>Seller</t>
  </si>
  <si>
    <t>Lender</t>
  </si>
  <si>
    <t>ListingAgent</t>
  </si>
  <si>
    <t>FNMA List</t>
  </si>
  <si>
    <t>SellingAgent</t>
  </si>
  <si>
    <t>Seller List</t>
  </si>
  <si>
    <t>VA List</t>
  </si>
  <si>
    <t>Lender List</t>
  </si>
  <si>
    <t>USDA List</t>
  </si>
  <si>
    <t>ListingAgent List</t>
  </si>
  <si>
    <t>SellingAgent List</t>
  </si>
  <si>
    <t>JumboElite</t>
  </si>
  <si>
    <t>JumboElite List</t>
  </si>
  <si>
    <t>Access_1099</t>
  </si>
  <si>
    <t>Access_BankStatements</t>
  </si>
  <si>
    <t>Access_FullDoc</t>
  </si>
  <si>
    <t>Access_PL_Only</t>
  </si>
  <si>
    <t>Access_1099 List</t>
  </si>
  <si>
    <t>Access_BankStatements List</t>
  </si>
  <si>
    <t>Access_FullDoc List</t>
  </si>
  <si>
    <t>Access_PL_Only List</t>
  </si>
  <si>
    <t>Access (NOTE: 80% Max CLTV)</t>
  </si>
  <si>
    <t>Borrower</t>
  </si>
  <si>
    <t>Base Loan Amount:</t>
  </si>
  <si>
    <t>Borrower List</t>
  </si>
  <si>
    <t>Last Updated January 28, 2025 (KP)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</si>
</sst>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quot;$&quot;#,##0"/>
    <numFmt numFmtId="165" formatCode="0.000%"/>
    <numFmt numFmtId="166" formatCode="&quot;$&quot;#,##0.00"/>
    <numFmt numFmtId="167" formatCode="0.00000"/>
    <numFmt numFmtId="168" formatCode="0.000000%"/>
  </numFmts>
  <fonts count="29" x14ac:knownFonts="1">
    <font>
      <sz val="11"/>
      <color theme="1"/>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b/>
      <sz val="11"/>
      <color rgb="FF7030A0"/>
      <name val="Calibri"/>
      <family val="2"/>
      <scheme val="minor"/>
    </font>
    <font>
      <b/>
      <sz val="11"/>
      <color rgb="FF0070C0"/>
      <name val="Calibri"/>
      <family val="2"/>
      <scheme val="minor"/>
    </font>
    <font>
      <b/>
      <sz val="11"/>
      <color theme="4" tint="-0.499984740745262"/>
      <name val="Calibri"/>
      <family val="2"/>
      <scheme val="minor"/>
    </font>
    <font>
      <sz val="14"/>
      <color theme="1"/>
      <name val="Calibri"/>
      <family val="2"/>
      <scheme val="minor"/>
    </font>
    <font>
      <b/>
      <sz val="14"/>
      <color theme="1"/>
      <name val="Calibri"/>
      <family val="2"/>
      <scheme val="minor"/>
    </font>
    <font>
      <b/>
      <sz val="14"/>
      <color rgb="FF002060"/>
      <name val="Calibri"/>
      <family val="2"/>
      <scheme val="minor"/>
    </font>
    <font>
      <b/>
      <i/>
      <sz val="28"/>
      <color rgb="FF002060"/>
      <name val="Calibri"/>
      <family val="2"/>
      <scheme val="minor"/>
    </font>
    <font>
      <b/>
      <sz val="16"/>
      <color theme="1"/>
      <name val="Calibri"/>
      <family val="2"/>
      <scheme val="minor"/>
    </font>
    <font>
      <b/>
      <i/>
      <sz val="11"/>
      <color rgb="FFFF0000"/>
      <name val="Calibri"/>
      <family val="2"/>
      <scheme val="minor"/>
    </font>
    <font>
      <i/>
      <sz val="11"/>
      <color rgb="FFFF0000"/>
      <name val="Calibri"/>
      <family val="2"/>
      <scheme val="minor"/>
    </font>
    <font>
      <sz val="14"/>
      <name val="Calibri"/>
      <family val="2"/>
      <scheme val="minor"/>
    </font>
    <font>
      <sz val="14"/>
      <color theme="0"/>
      <name val="Calibri"/>
      <family val="2"/>
      <scheme val="minor"/>
    </font>
    <font>
      <sz val="11"/>
      <name val="Calibri"/>
      <family val="2"/>
      <scheme val="minor"/>
    </font>
    <font>
      <b/>
      <i/>
      <sz val="11"/>
      <color theme="1" tint="0.249977111117893"/>
      <name val="Calibri"/>
      <family val="2"/>
      <scheme val="minor"/>
    </font>
    <font>
      <b/>
      <sz val="11"/>
      <color theme="1" tint="0.249977111117893"/>
      <name val="Calibri"/>
      <family val="2"/>
      <scheme val="minor"/>
    </font>
    <font>
      <b/>
      <sz val="14"/>
      <name val="Calibri"/>
      <family val="2"/>
      <scheme val="minor"/>
    </font>
    <font>
      <b/>
      <sz val="11"/>
      <name val="Calibri"/>
      <family val="2"/>
      <scheme val="minor"/>
    </font>
    <font>
      <i/>
      <sz val="12"/>
      <color theme="1" tint="0.499984740745262"/>
      <name val="Calibri"/>
      <family val="2"/>
      <scheme val="minor"/>
    </font>
    <font>
      <b/>
      <i/>
      <sz val="11"/>
      <color theme="0"/>
      <name val="Calibri"/>
      <family val="2"/>
      <scheme val="minor"/>
    </font>
    <font>
      <i/>
      <sz val="14"/>
      <color rgb="FFFF0000"/>
      <name val="Calibri"/>
      <family val="2"/>
      <scheme val="minor"/>
    </font>
    <font>
      <b/>
      <i/>
      <sz val="10"/>
      <color theme="1"/>
      <name val="Calibri"/>
      <family val="2"/>
      <scheme val="minor"/>
    </font>
    <font>
      <b/>
      <sz val="11"/>
      <color rgb="FFFF0000"/>
      <name val="Calibri"/>
      <family val="2"/>
      <scheme val="minor"/>
    </font>
    <font>
      <b/>
      <i/>
      <sz val="10"/>
      <color rgb="FFFF0000"/>
      <name val="Calibri"/>
      <family val="2"/>
      <scheme val="minor"/>
    </font>
    <font>
      <i/>
      <sz val="10"/>
      <name val="Calibri"/>
      <family val="2"/>
      <scheme val="minor"/>
    </font>
    <font>
      <b/>
      <i/>
      <sz val="12"/>
      <color rgb="FF002060"/>
      <name val="Calibri"/>
      <family val="2"/>
      <scheme val="minor"/>
    </font>
  </fonts>
  <fills count="11">
    <fill>
      <patternFill patternType="none"/>
    </fill>
    <fill>
      <patternFill patternType="gray125"/>
    </fill>
    <fill>
      <patternFill patternType="solid">
        <fgColor theme="8" tint="0.79998168889431442"/>
        <bgColor indexed="64"/>
      </patternFill>
    </fill>
    <fill>
      <patternFill patternType="solid">
        <fgColor theme="8" tint="-0.499984740745262"/>
        <bgColor indexed="64"/>
      </patternFill>
    </fill>
    <fill>
      <patternFill patternType="solid">
        <fgColor rgb="FFFFFF00"/>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111">
    <xf numFmtId="0" fontId="0" fillId="0" borderId="0" xfId="0"/>
    <xf numFmtId="0" fontId="0" fillId="0" borderId="1" xfId="0" applyBorder="1"/>
    <xf numFmtId="0" fontId="2" fillId="0" borderId="9" xfId="0" applyFont="1" applyBorder="1" applyAlignment="1">
      <alignment horizontal="right" indent="1"/>
    </xf>
    <xf numFmtId="0" fontId="2" fillId="0" borderId="10" xfId="0" applyFont="1" applyBorder="1" applyAlignment="1">
      <alignment horizontal="right" indent="1"/>
    </xf>
    <xf numFmtId="9" fontId="2" fillId="0" borderId="1" xfId="0" applyNumberFormat="1" applyFont="1" applyBorder="1" applyAlignment="1">
      <alignment horizontal="right" indent="1"/>
    </xf>
    <xf numFmtId="166" fontId="2" fillId="0" borderId="1" xfId="0" applyNumberFormat="1" applyFont="1" applyBorder="1" applyAlignment="1">
      <alignment horizontal="right" indent="1"/>
    </xf>
    <xf numFmtId="0" fontId="9" fillId="0" borderId="0" xfId="0" applyFont="1" applyAlignment="1">
      <alignment horizontal="center"/>
    </xf>
    <xf numFmtId="166" fontId="0" fillId="0" borderId="1" xfId="0" applyNumberFormat="1" applyBorder="1"/>
    <xf numFmtId="167" fontId="0" fillId="0" borderId="1" xfId="0" applyNumberFormat="1" applyBorder="1"/>
    <xf numFmtId="168" fontId="0" fillId="0" borderId="0" xfId="0" quotePrefix="1" applyNumberFormat="1"/>
    <xf numFmtId="166" fontId="0" fillId="4" borderId="1" xfId="0" applyNumberFormat="1" applyFill="1" applyBorder="1"/>
    <xf numFmtId="0" fontId="3" fillId="0" borderId="1" xfId="0" applyFont="1" applyBorder="1" applyAlignment="1">
      <alignment horizontal="right"/>
    </xf>
    <xf numFmtId="164" fontId="6" fillId="2" borderId="1" xfId="0" applyNumberFormat="1" applyFont="1" applyFill="1" applyBorder="1" applyAlignment="1" applyProtection="1">
      <alignment horizontal="right" indent="1"/>
      <protection locked="0"/>
    </xf>
    <xf numFmtId="0" fontId="6" fillId="2" borderId="1" xfId="0" applyFont="1" applyFill="1" applyBorder="1" applyAlignment="1" applyProtection="1">
      <alignment horizontal="right" indent="1"/>
      <protection locked="0"/>
    </xf>
    <xf numFmtId="165" fontId="6" fillId="2" borderId="1" xfId="0" applyNumberFormat="1" applyFont="1" applyFill="1" applyBorder="1" applyAlignment="1" applyProtection="1">
      <alignment horizontal="right" indent="1"/>
      <protection locked="0"/>
    </xf>
    <xf numFmtId="0" fontId="8" fillId="0" borderId="0" xfId="0" applyFont="1"/>
    <xf numFmtId="0" fontId="0" fillId="0" borderId="4" xfId="0" applyBorder="1"/>
    <xf numFmtId="0" fontId="2" fillId="7" borderId="1" xfId="0" applyFont="1" applyFill="1" applyBorder="1"/>
    <xf numFmtId="0" fontId="0" fillId="0" borderId="6" xfId="0" applyBorder="1"/>
    <xf numFmtId="0" fontId="0" fillId="0" borderId="7" xfId="0" applyBorder="1"/>
    <xf numFmtId="0" fontId="13" fillId="0" borderId="0" xfId="0" applyFont="1" applyAlignment="1">
      <alignment wrapText="1"/>
    </xf>
    <xf numFmtId="0" fontId="13" fillId="0" borderId="0" xfId="0" applyFont="1" applyAlignment="1">
      <alignment horizontal="left" wrapText="1" indent="1"/>
    </xf>
    <xf numFmtId="165" fontId="2" fillId="8" borderId="1" xfId="0" applyNumberFormat="1" applyFont="1" applyFill="1" applyBorder="1" applyAlignment="1">
      <alignment horizontal="right" indent="1"/>
    </xf>
    <xf numFmtId="0" fontId="2" fillId="0" borderId="1" xfId="0" applyFont="1" applyBorder="1" applyAlignment="1">
      <alignment horizontal="center"/>
    </xf>
    <xf numFmtId="10" fontId="0" fillId="0" borderId="1" xfId="0" applyNumberFormat="1" applyBorder="1" applyAlignment="1">
      <alignment horizontal="center"/>
    </xf>
    <xf numFmtId="0" fontId="10" fillId="0" borderId="0" xfId="0" applyFont="1" applyAlignment="1">
      <alignment vertical="center"/>
    </xf>
    <xf numFmtId="0" fontId="16" fillId="0" borderId="0" xfId="0" applyFont="1"/>
    <xf numFmtId="0" fontId="2" fillId="0" borderId="1" xfId="0" applyFont="1" applyBorder="1" applyAlignment="1">
      <alignment horizontal="right" indent="1"/>
    </xf>
    <xf numFmtId="164" fontId="17" fillId="9" borderId="1" xfId="0" applyNumberFormat="1" applyFont="1" applyFill="1" applyBorder="1" applyAlignment="1">
      <alignment horizontal="center"/>
    </xf>
    <xf numFmtId="165" fontId="17" fillId="9" borderId="1" xfId="0" applyNumberFormat="1" applyFont="1" applyFill="1" applyBorder="1" applyAlignment="1">
      <alignment horizontal="center"/>
    </xf>
    <xf numFmtId="166" fontId="17" fillId="9" borderId="1" xfId="0" applyNumberFormat="1" applyFont="1" applyFill="1" applyBorder="1" applyAlignment="1">
      <alignment horizontal="center"/>
    </xf>
    <xf numFmtId="165" fontId="18" fillId="9" borderId="1" xfId="0" applyNumberFormat="1" applyFont="1" applyFill="1" applyBorder="1" applyAlignment="1">
      <alignment horizontal="center"/>
    </xf>
    <xf numFmtId="166" fontId="18" fillId="9" borderId="1" xfId="0" applyNumberFormat="1" applyFont="1" applyFill="1" applyBorder="1" applyAlignment="1">
      <alignment horizontal="center"/>
    </xf>
    <xf numFmtId="0" fontId="2" fillId="0" borderId="1" xfId="0" applyFont="1" applyBorder="1" applyAlignment="1">
      <alignment horizontal="right" wrapText="1" indent="1"/>
    </xf>
    <xf numFmtId="0" fontId="2" fillId="0" borderId="0" xfId="0" applyFont="1"/>
    <xf numFmtId="0" fontId="19" fillId="0" borderId="0" xfId="0" applyFont="1"/>
    <xf numFmtId="0" fontId="13" fillId="0" borderId="0" xfId="0" applyFont="1" applyAlignment="1">
      <alignment vertical="center" wrapText="1"/>
    </xf>
    <xf numFmtId="0" fontId="2" fillId="0" borderId="0" xfId="0" applyFont="1" applyAlignment="1">
      <alignment horizontal="center"/>
    </xf>
    <xf numFmtId="10" fontId="0" fillId="0" borderId="0" xfId="0" applyNumberFormat="1" applyAlignment="1">
      <alignment horizontal="center"/>
    </xf>
    <xf numFmtId="166" fontId="2" fillId="2" borderId="1" xfId="0" applyNumberFormat="1" applyFont="1" applyFill="1" applyBorder="1" applyAlignment="1" applyProtection="1">
      <alignment horizontal="center"/>
      <protection locked="0"/>
    </xf>
    <xf numFmtId="165" fontId="2" fillId="2" borderId="1" xfId="0" applyNumberFormat="1" applyFont="1" applyFill="1" applyBorder="1" applyAlignment="1" applyProtection="1">
      <alignment horizontal="center"/>
      <protection locked="0"/>
    </xf>
    <xf numFmtId="0" fontId="21" fillId="0" borderId="0" xfId="0" applyFont="1" applyAlignment="1">
      <alignment vertical="center" wrapText="1"/>
    </xf>
    <xf numFmtId="0" fontId="3" fillId="0" borderId="0" xfId="0" applyFont="1" applyAlignment="1">
      <alignment horizontal="right"/>
    </xf>
    <xf numFmtId="166" fontId="0" fillId="0" borderId="0" xfId="0" applyNumberFormat="1"/>
    <xf numFmtId="0" fontId="2" fillId="0" borderId="4" xfId="0" applyFont="1" applyBorder="1"/>
    <xf numFmtId="1" fontId="0" fillId="0" borderId="14" xfId="0" applyNumberFormat="1" applyBorder="1"/>
    <xf numFmtId="0" fontId="0" fillId="0" borderId="14" xfId="0" applyBorder="1"/>
    <xf numFmtId="166" fontId="6" fillId="2" borderId="1" xfId="0" applyNumberFormat="1" applyFont="1" applyFill="1" applyBorder="1" applyAlignment="1" applyProtection="1">
      <alignment horizontal="right" indent="1"/>
      <protection locked="0"/>
    </xf>
    <xf numFmtId="0" fontId="24" fillId="0" borderId="0" xfId="0" applyFont="1" applyAlignment="1">
      <alignment horizontal="left" indent="2"/>
    </xf>
    <xf numFmtId="0" fontId="26" fillId="0" borderId="9" xfId="0" applyFont="1" applyBorder="1" applyAlignment="1">
      <alignment horizontal="left"/>
    </xf>
    <xf numFmtId="0" fontId="26" fillId="0" borderId="0" xfId="0" applyFont="1" applyAlignment="1">
      <alignment horizontal="left"/>
    </xf>
    <xf numFmtId="0" fontId="0" fillId="0" borderId="0" xfId="0" applyAlignment="1">
      <alignment horizontal="left"/>
    </xf>
    <xf numFmtId="0" fontId="24" fillId="0" borderId="0" xfId="0" applyFont="1" applyAlignment="1">
      <alignment horizontal="left"/>
    </xf>
    <xf numFmtId="0" fontId="2" fillId="0" borderId="12" xfId="0" applyFont="1" applyBorder="1" applyAlignment="1">
      <alignment horizontal="right" indent="1"/>
    </xf>
    <xf numFmtId="0" fontId="8" fillId="0" borderId="0" xfId="0" applyFont="1" applyAlignment="1">
      <alignment horizontal="right"/>
    </xf>
    <xf numFmtId="0" fontId="13" fillId="0" borderId="0" xfId="0" applyFont="1"/>
    <xf numFmtId="0" fontId="1" fillId="0" borderId="4" xfId="0" applyFont="1" applyBorder="1"/>
    <xf numFmtId="0" fontId="12" fillId="0" borderId="0" xfId="0" applyFont="1" applyAlignment="1">
      <alignment wrapText="1"/>
    </xf>
    <xf numFmtId="0" fontId="17" fillId="9" borderId="1" xfId="0" applyFont="1" applyFill="1" applyBorder="1" applyAlignment="1">
      <alignment horizontal="center"/>
    </xf>
    <xf numFmtId="0" fontId="1" fillId="3" borderId="1" xfId="0" applyFont="1" applyFill="1" applyBorder="1" applyAlignment="1">
      <alignment horizontal="center" vertical="center"/>
    </xf>
    <xf numFmtId="0" fontId="1" fillId="3" borderId="12" xfId="0" applyFont="1" applyFill="1" applyBorder="1" applyAlignment="1">
      <alignment horizontal="center" vertical="center"/>
    </xf>
    <xf numFmtId="0" fontId="8" fillId="0" borderId="1" xfId="0" applyFont="1" applyBorder="1" applyAlignment="1">
      <alignment horizontal="center"/>
    </xf>
    <xf numFmtId="0" fontId="1" fillId="3" borderId="1" xfId="0" applyFont="1" applyFill="1" applyBorder="1" applyAlignment="1">
      <alignment horizontal="center" vertical="center" wrapText="1"/>
    </xf>
    <xf numFmtId="0" fontId="1" fillId="3" borderId="12" xfId="0" applyFont="1" applyFill="1" applyBorder="1" applyAlignment="1">
      <alignment horizontal="center" vertical="center" wrapText="1"/>
    </xf>
    <xf numFmtId="165" fontId="7" fillId="0" borderId="14" xfId="0" applyNumberFormat="1" applyFont="1" applyBorder="1" applyAlignment="1">
      <alignment horizontal="center"/>
    </xf>
    <xf numFmtId="166" fontId="7" fillId="0" borderId="1" xfId="0" applyNumberFormat="1" applyFont="1" applyBorder="1" applyAlignment="1">
      <alignment horizontal="center"/>
    </xf>
    <xf numFmtId="0" fontId="10" fillId="0" borderId="0" xfId="0" applyFont="1" applyAlignment="1">
      <alignment horizontal="center" vertical="center"/>
    </xf>
    <xf numFmtId="166" fontId="7" fillId="0" borderId="0" xfId="0" applyNumberFormat="1" applyFont="1" applyAlignment="1">
      <alignment horizontal="center"/>
    </xf>
    <xf numFmtId="3" fontId="7" fillId="0" borderId="1" xfId="0" applyNumberFormat="1" applyFont="1" applyBorder="1" applyAlignment="1">
      <alignment horizontal="center"/>
    </xf>
    <xf numFmtId="3" fontId="7" fillId="6" borderId="1" xfId="0" applyNumberFormat="1" applyFont="1" applyFill="1" applyBorder="1" applyAlignment="1">
      <alignment horizontal="center"/>
    </xf>
    <xf numFmtId="166" fontId="8" fillId="0" borderId="1" xfId="0" applyNumberFormat="1" applyFont="1" applyBorder="1" applyAlignment="1">
      <alignment horizontal="center"/>
    </xf>
    <xf numFmtId="166" fontId="8" fillId="6" borderId="1" xfId="0" applyNumberFormat="1" applyFont="1" applyFill="1" applyBorder="1" applyAlignment="1">
      <alignment horizontal="center"/>
    </xf>
    <xf numFmtId="166" fontId="15" fillId="0" borderId="1" xfId="0" applyNumberFormat="1" applyFont="1" applyBorder="1" applyAlignment="1">
      <alignment horizontal="center"/>
    </xf>
    <xf numFmtId="166" fontId="8" fillId="0" borderId="13" xfId="0" applyNumberFormat="1" applyFont="1" applyBorder="1" applyAlignment="1">
      <alignment horizontal="center"/>
    </xf>
    <xf numFmtId="166" fontId="8" fillId="0" borderId="5" xfId="0" applyNumberFormat="1" applyFont="1" applyBorder="1" applyAlignment="1">
      <alignment horizontal="center"/>
    </xf>
    <xf numFmtId="3" fontId="15" fillId="0" borderId="13" xfId="0" applyNumberFormat="1" applyFont="1" applyBorder="1" applyAlignment="1">
      <alignment horizontal="center"/>
    </xf>
    <xf numFmtId="3" fontId="15" fillId="0" borderId="5" xfId="0" applyNumberFormat="1" applyFont="1" applyBorder="1" applyAlignment="1">
      <alignment horizontal="center"/>
    </xf>
    <xf numFmtId="166" fontId="7" fillId="6" borderId="1" xfId="0" applyNumberFormat="1" applyFont="1" applyFill="1" applyBorder="1" applyAlignment="1">
      <alignment horizontal="center"/>
    </xf>
    <xf numFmtId="166" fontId="8" fillId="0" borderId="0" xfId="0" applyNumberFormat="1" applyFont="1" applyAlignment="1">
      <alignment horizontal="right" indent="1"/>
    </xf>
    <xf numFmtId="0" fontId="8" fillId="0" borderId="0" xfId="0" applyFont="1" applyAlignment="1">
      <alignment horizontal="right" indent="1"/>
    </xf>
    <xf numFmtId="0" fontId="8" fillId="0" borderId="3" xfId="0" applyFont="1" applyBorder="1" applyAlignment="1">
      <alignment horizontal="right" indent="1"/>
    </xf>
    <xf numFmtId="0" fontId="8" fillId="0" borderId="9" xfId="0" applyFont="1" applyBorder="1" applyAlignment="1">
      <alignment horizontal="left" indent="1"/>
    </xf>
    <xf numFmtId="0" fontId="8" fillId="0" borderId="0" xfId="0" applyFont="1" applyAlignment="1">
      <alignment horizontal="left" indent="1"/>
    </xf>
    <xf numFmtId="0" fontId="8" fillId="0" borderId="10" xfId="0" applyFont="1" applyBorder="1" applyAlignment="1">
      <alignment horizontal="left" indent="1"/>
    </xf>
    <xf numFmtId="0" fontId="8" fillId="0" borderId="4" xfId="0" applyFont="1" applyBorder="1" applyAlignment="1">
      <alignment horizontal="left" indent="1"/>
    </xf>
    <xf numFmtId="165" fontId="8" fillId="0" borderId="4" xfId="0" applyNumberFormat="1" applyFont="1" applyBorder="1" applyAlignment="1">
      <alignment horizontal="right" indent="1"/>
    </xf>
    <xf numFmtId="165" fontId="8" fillId="0" borderId="2" xfId="0" applyNumberFormat="1" applyFont="1" applyBorder="1" applyAlignment="1">
      <alignment horizontal="right" indent="1"/>
    </xf>
    <xf numFmtId="0" fontId="23" fillId="4" borderId="0" xfId="0" applyFont="1" applyFill="1" applyAlignment="1">
      <alignment horizontal="center"/>
    </xf>
    <xf numFmtId="0" fontId="28" fillId="10" borderId="4" xfId="0" applyFont="1" applyFill="1" applyBorder="1" applyAlignment="1" applyProtection="1">
      <alignment horizontal="center"/>
      <protection locked="0"/>
    </xf>
    <xf numFmtId="0" fontId="13" fillId="0" borderId="0" xfId="0" applyFont="1" applyAlignment="1">
      <alignment horizontal="center" vertical="center" wrapText="1"/>
    </xf>
    <xf numFmtId="166" fontId="7" fillId="0" borderId="13" xfId="0" applyNumberFormat="1" applyFont="1" applyBorder="1" applyAlignment="1">
      <alignment horizontal="center"/>
    </xf>
    <xf numFmtId="166" fontId="7" fillId="0" borderId="5" xfId="0" applyNumberFormat="1" applyFont="1" applyBorder="1" applyAlignment="1">
      <alignment horizontal="center"/>
    </xf>
    <xf numFmtId="0" fontId="12" fillId="0" borderId="8" xfId="0" applyFont="1" applyBorder="1" applyAlignment="1">
      <alignment horizontal="left" indent="1"/>
    </xf>
    <xf numFmtId="0" fontId="12" fillId="0" borderId="6" xfId="0" applyFont="1" applyBorder="1" applyAlignment="1">
      <alignment horizontal="left" indent="1"/>
    </xf>
    <xf numFmtId="0" fontId="8" fillId="6" borderId="1" xfId="0" applyFont="1" applyFill="1" applyBorder="1" applyAlignment="1">
      <alignment horizontal="center"/>
    </xf>
    <xf numFmtId="165" fontId="7" fillId="6" borderId="14" xfId="0" applyNumberFormat="1" applyFont="1" applyFill="1" applyBorder="1" applyAlignment="1">
      <alignment horizontal="center"/>
    </xf>
    <xf numFmtId="0" fontId="7" fillId="6" borderId="14" xfId="0" applyFont="1" applyFill="1" applyBorder="1" applyAlignment="1">
      <alignment horizontal="center"/>
    </xf>
    <xf numFmtId="165" fontId="14" fillId="0" borderId="14" xfId="0" applyNumberFormat="1" applyFont="1" applyBorder="1" applyAlignment="1">
      <alignment horizontal="center"/>
    </xf>
    <xf numFmtId="0" fontId="9" fillId="0" borderId="4" xfId="0" applyFont="1" applyBorder="1" applyAlignment="1">
      <alignment horizontal="left"/>
    </xf>
    <xf numFmtId="0" fontId="12" fillId="0" borderId="6" xfId="0" applyFont="1" applyBorder="1" applyAlignment="1">
      <alignment horizontal="center" vertical="top" wrapText="1"/>
    </xf>
    <xf numFmtId="0" fontId="12" fillId="0" borderId="0" xfId="0" applyFont="1" applyAlignment="1">
      <alignment horizontal="center" vertical="top" wrapText="1"/>
    </xf>
    <xf numFmtId="0" fontId="20" fillId="0" borderId="1" xfId="0" applyFont="1" applyBorder="1" applyAlignment="1">
      <alignment horizontal="right" vertical="center"/>
    </xf>
    <xf numFmtId="166" fontId="20" fillId="9" borderId="1" xfId="0" applyNumberFormat="1" applyFont="1" applyFill="1" applyBorder="1" applyAlignment="1">
      <alignment horizontal="center" vertical="center"/>
    </xf>
    <xf numFmtId="0" fontId="22" fillId="0" borderId="14" xfId="0" applyFont="1" applyBorder="1" applyAlignment="1">
      <alignment horizontal="center" wrapText="1"/>
    </xf>
    <xf numFmtId="0" fontId="21" fillId="0" borderId="0" xfId="0" applyFont="1" applyAlignment="1">
      <alignment horizontal="center" vertical="center" wrapText="1"/>
    </xf>
    <xf numFmtId="0" fontId="10" fillId="0" borderId="0" xfId="0" applyFont="1" applyAlignment="1">
      <alignment horizontal="right" vertical="center"/>
    </xf>
    <xf numFmtId="165" fontId="20" fillId="9" borderId="1" xfId="0" applyNumberFormat="1" applyFont="1" applyFill="1" applyBorder="1" applyAlignment="1">
      <alignment horizontal="center" vertical="center"/>
    </xf>
    <xf numFmtId="0" fontId="19" fillId="0" borderId="4" xfId="0" applyFont="1" applyBorder="1" applyAlignment="1">
      <alignment horizontal="center"/>
    </xf>
    <xf numFmtId="0" fontId="2" fillId="5" borderId="11" xfId="0" applyFont="1" applyFill="1" applyBorder="1" applyAlignment="1">
      <alignment horizontal="center"/>
    </xf>
    <xf numFmtId="0" fontId="11" fillId="7" borderId="1" xfId="0" applyFont="1" applyFill="1" applyBorder="1" applyAlignment="1">
      <alignment horizontal="center"/>
    </xf>
    <xf numFmtId="0" fontId="0" fillId="0" borderId="0" xfId="0" applyBorder="1"/>
  </cellXfs>
  <cellStyles count="1">
    <cellStyle name="Normal" xfId="0" builtinId="0"/>
  </cellStyles>
  <dxfs count="123">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ill>
        <patternFill>
          <bgColor theme="2"/>
        </patternFill>
      </fill>
    </dxf>
    <dxf>
      <font>
        <color rgb="FFFF0000"/>
      </font>
    </dxf>
    <dxf>
      <font>
        <color rgb="FFFF0000"/>
      </font>
      <fill>
        <patternFill patternType="none">
          <bgColor auto="1"/>
        </patternFill>
      </fill>
    </dxf>
    <dxf>
      <font>
        <color auto="1"/>
      </font>
    </dxf>
    <dxf>
      <font>
        <color auto="1"/>
      </font>
    </dxf>
    <dxf>
      <font>
        <color theme="0"/>
      </font>
    </dxf>
    <dxf>
      <font>
        <color rgb="FF9C0006"/>
      </font>
      <fill>
        <patternFill>
          <bgColor rgb="FFFFC7CE"/>
        </patternFill>
      </fill>
    </dxf>
    <dxf>
      <font>
        <color theme="0"/>
      </font>
      <fill>
        <patternFill patternType="none">
          <bgColor auto="1"/>
        </patternFill>
      </fill>
    </dxf>
    <dxf>
      <font>
        <b/>
        <i/>
        <strike val="0"/>
        <color rgb="FFFF0000"/>
      </font>
      <fill>
        <patternFill>
          <bgColor rgb="FFFFFF00"/>
        </patternFill>
      </fill>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left/>
        <right/>
        <top style="thin">
          <color indexed="64"/>
        </top>
        <bottom style="thin">
          <color indexed="64"/>
        </bottom>
        <vertical/>
        <horizontal/>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bottom style="thin">
          <color indexed="64"/>
        </bottom>
      </border>
    </dxf>
    <dxf>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dxf>
    <dxf>
      <font>
        <b/>
        <i val="0"/>
        <strike val="0"/>
        <condense val="0"/>
        <extend val="0"/>
        <outline val="0"/>
        <shadow val="0"/>
        <u val="none"/>
        <vertAlign val="baseline"/>
        <sz val="11"/>
        <color theme="0"/>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auto="1"/>
        </patternFill>
      </fill>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border diagonalUp="0" diagonalDown="0">
        <left/>
        <right/>
        <top style="thin">
          <color indexed="64"/>
        </top>
        <bottom style="thin">
          <color indexed="64"/>
        </bottom>
        <vertical style="thin">
          <color indexed="64"/>
        </vertical>
        <horizontal style="thin">
          <color indexed="64"/>
        </horizontal>
      </border>
    </dxf>
    <dxf>
      <border>
        <top style="thin">
          <color indexed="64"/>
        </top>
      </border>
    </dxf>
    <dxf>
      <border diagonalUp="0" diagonalDown="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rgb="FFFF0000"/>
        <name val="Calibri"/>
        <family val="2"/>
        <scheme val="minor"/>
      </font>
      <fill>
        <patternFill patternType="none">
          <fgColor indexed="64"/>
          <bgColor indexed="65"/>
        </patternFill>
      </fill>
    </dxf>
    <dxf>
      <border>
        <bottom style="thin">
          <color indexed="64"/>
        </bottom>
      </border>
    </dxf>
    <dxf>
      <font>
        <b/>
        <i val="0"/>
        <strike val="0"/>
        <condense val="0"/>
        <extend val="0"/>
        <outline val="0"/>
        <shadow val="0"/>
        <u val="none"/>
        <vertAlign val="baseline"/>
        <sz val="11"/>
        <color theme="0"/>
        <name val="Calibri"/>
        <family val="2"/>
        <scheme val="minor"/>
      </font>
      <fill>
        <patternFill patternType="none">
          <fgColor indexed="64"/>
          <bgColor indexed="65"/>
        </patternFill>
      </fill>
      <border diagonalUp="0" diagonalDown="0">
        <left style="thin">
          <color indexed="64"/>
        </left>
        <right style="thin">
          <color indexed="64"/>
        </right>
        <top/>
        <bottom/>
        <vertical style="thin">
          <color indexed="64"/>
        </vertical>
        <horizontal style="thin">
          <color indexed="64"/>
        </horizontal>
      </border>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border diagonalUp="0" diagonalDown="0" outline="0">
        <left/>
        <right/>
        <top style="thin">
          <color indexed="64"/>
        </top>
        <bottom style="thin">
          <color indexed="64"/>
        </bottom>
      </border>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
      <fill>
        <patternFill patternType="none">
          <fgColor indexed="64"/>
          <bgColor auto="1"/>
        </patternFill>
      </fill>
    </dxf>
    <dxf>
      <border outline="0">
        <top style="thin">
          <color indexed="64"/>
        </top>
      </border>
    </dxf>
    <dxf>
      <border outline="0">
        <left style="thin">
          <color indexed="64"/>
        </left>
        <right style="thin">
          <color indexed="64"/>
        </right>
        <top style="thin">
          <color indexed="64"/>
        </top>
        <bottom style="thin">
          <color indexed="64"/>
        </bottom>
      </border>
    </dxf>
    <dxf>
      <fill>
        <patternFill patternType="none">
          <fgColor indexed="64"/>
          <bgColor auto="1"/>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none">
          <fgColor indexed="64"/>
          <bgColor auto="1"/>
        </patternFill>
      </fill>
    </dxf>
  </dxfs>
  <tableStyles count="0" defaultTableStyle="TableStyleMedium2" defaultPivotStyle="PivotStyleLight16"/>
  <colors>
    <mruColors>
      <color rgb="FFFF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87966</xdr:colOff>
      <xdr:row>0</xdr:row>
      <xdr:rowOff>160804</xdr:rowOff>
    </xdr:from>
    <xdr:to>
      <xdr:col>1</xdr:col>
      <xdr:colOff>2305303</xdr:colOff>
      <xdr:row>2</xdr:row>
      <xdr:rowOff>103654</xdr:rowOff>
    </xdr:to>
    <xdr:pic>
      <xdr:nvPicPr>
        <xdr:cNvPr id="3" name="Picture 2">
          <a:extLst>
            <a:ext uri="{FF2B5EF4-FFF2-40B4-BE49-F238E27FC236}">
              <a16:creationId xmlns:a16="http://schemas.microsoft.com/office/drawing/2014/main" id="{191C4412-76F0-4D08-A5C3-4CBFD1B03E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49891" y="160804"/>
          <a:ext cx="2217337" cy="714375"/>
        </a:xfrm>
        <a:prstGeom prst="rect">
          <a:avLst/>
        </a:prstGeom>
      </xdr:spPr>
    </xdr:pic>
    <xdr:clientData/>
  </xdr:twoCellAnchor>
  <xdr:twoCellAnchor>
    <xdr:from>
      <xdr:col>1</xdr:col>
      <xdr:colOff>3718</xdr:colOff>
      <xdr:row>5</xdr:row>
      <xdr:rowOff>11355</xdr:rowOff>
    </xdr:from>
    <xdr:to>
      <xdr:col>1</xdr:col>
      <xdr:colOff>2910701</xdr:colOff>
      <xdr:row>5</xdr:row>
      <xdr:rowOff>238083</xdr:rowOff>
    </xdr:to>
    <xdr:sp macro="" textlink="">
      <xdr:nvSpPr>
        <xdr:cNvPr id="4" name="Rectangle: Top Corners Rounded 3">
          <a:extLst>
            <a:ext uri="{FF2B5EF4-FFF2-40B4-BE49-F238E27FC236}">
              <a16:creationId xmlns:a16="http://schemas.microsoft.com/office/drawing/2014/main" id="{6BE6E393-9ACB-4E92-BC63-54BCAC2CF956}"/>
            </a:ext>
          </a:extLst>
        </xdr:cNvPr>
        <xdr:cNvSpPr/>
      </xdr:nvSpPr>
      <xdr:spPr>
        <a:xfrm>
          <a:off x="101689" y="1023726"/>
          <a:ext cx="2906983" cy="226728"/>
        </a:xfrm>
        <a:prstGeom prst="round2SameRect">
          <a:avLst>
            <a:gd name="adj1" fmla="val 47311"/>
            <a:gd name="adj2" fmla="val 0"/>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LOAN</a:t>
          </a:r>
          <a:r>
            <a:rPr lang="en-US" sz="1400" b="1" baseline="0"/>
            <a:t> PARAMETERS</a:t>
          </a:r>
          <a:endParaRPr lang="en-US" sz="1400" b="1"/>
        </a:p>
      </xdr:txBody>
    </xdr:sp>
    <xdr:clientData/>
  </xdr:twoCellAnchor>
  <xdr:twoCellAnchor>
    <xdr:from>
      <xdr:col>3</xdr:col>
      <xdr:colOff>323508</xdr:colOff>
      <xdr:row>5</xdr:row>
      <xdr:rowOff>390</xdr:rowOff>
    </xdr:from>
    <xdr:to>
      <xdr:col>9</xdr:col>
      <xdr:colOff>383128</xdr:colOff>
      <xdr:row>5</xdr:row>
      <xdr:rowOff>229834</xdr:rowOff>
    </xdr:to>
    <xdr:sp macro="" textlink="">
      <xdr:nvSpPr>
        <xdr:cNvPr id="5" name="Rectangle: Top Corners Rounded 4">
          <a:extLst>
            <a:ext uri="{FF2B5EF4-FFF2-40B4-BE49-F238E27FC236}">
              <a16:creationId xmlns:a16="http://schemas.microsoft.com/office/drawing/2014/main" id="{AF1E827E-DF6C-4006-AFCF-BCDDAFFC94D4}"/>
            </a:ext>
          </a:extLst>
        </xdr:cNvPr>
        <xdr:cNvSpPr/>
      </xdr:nvSpPr>
      <xdr:spPr>
        <a:xfrm>
          <a:off x="6210423" y="906427"/>
          <a:ext cx="3395693" cy="229444"/>
        </a:xfrm>
        <a:prstGeom prst="round2SameRect">
          <a:avLst>
            <a:gd name="adj1" fmla="val 47311"/>
            <a:gd name="adj2" fmla="val 0"/>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RATE</a:t>
          </a:r>
          <a:r>
            <a:rPr lang="en-US" sz="1400" b="1" baseline="0"/>
            <a:t> &amp; PAYMENT STRUCTURE</a:t>
          </a:r>
          <a:endParaRPr lang="en-US" sz="1400" b="1"/>
        </a:p>
      </xdr:txBody>
    </xdr:sp>
    <xdr:clientData/>
  </xdr:twoCellAnchor>
  <xdr:twoCellAnchor>
    <xdr:from>
      <xdr:col>3</xdr:col>
      <xdr:colOff>122726</xdr:colOff>
      <xdr:row>13</xdr:row>
      <xdr:rowOff>16445</xdr:rowOff>
    </xdr:from>
    <xdr:to>
      <xdr:col>9</xdr:col>
      <xdr:colOff>373101</xdr:colOff>
      <xdr:row>13</xdr:row>
      <xdr:rowOff>246143</xdr:rowOff>
    </xdr:to>
    <xdr:sp macro="" textlink="">
      <xdr:nvSpPr>
        <xdr:cNvPr id="6" name="Rectangle: Top Corners Rounded 5">
          <a:extLst>
            <a:ext uri="{FF2B5EF4-FFF2-40B4-BE49-F238E27FC236}">
              <a16:creationId xmlns:a16="http://schemas.microsoft.com/office/drawing/2014/main" id="{A4A453F3-A349-4BAC-A0FD-7A92822859CB}"/>
            </a:ext>
          </a:extLst>
        </xdr:cNvPr>
        <xdr:cNvSpPr/>
      </xdr:nvSpPr>
      <xdr:spPr>
        <a:xfrm>
          <a:off x="5447201" y="3474020"/>
          <a:ext cx="3336475" cy="229698"/>
        </a:xfrm>
        <a:prstGeom prst="round2SameRect">
          <a:avLst>
            <a:gd name="adj1" fmla="val 47311"/>
            <a:gd name="adj2" fmla="val 0"/>
          </a:avLst>
        </a:prstGeom>
        <a:solidFill>
          <a:schemeClr val="tx1"/>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COST</a:t>
          </a:r>
        </a:p>
      </xdr:txBody>
    </xdr:sp>
    <xdr:clientData/>
  </xdr:twoCellAnchor>
  <xdr:twoCellAnchor>
    <xdr:from>
      <xdr:col>1</xdr:col>
      <xdr:colOff>3023</xdr:colOff>
      <xdr:row>20</xdr:row>
      <xdr:rowOff>334927</xdr:rowOff>
    </xdr:from>
    <xdr:to>
      <xdr:col>2</xdr:col>
      <xdr:colOff>0</xdr:colOff>
      <xdr:row>22</xdr:row>
      <xdr:rowOff>2396</xdr:rowOff>
    </xdr:to>
    <xdr:sp macro="" textlink="">
      <xdr:nvSpPr>
        <xdr:cNvPr id="7" name="Rectangle: Top Corners Rounded 6">
          <a:extLst>
            <a:ext uri="{FF2B5EF4-FFF2-40B4-BE49-F238E27FC236}">
              <a16:creationId xmlns:a16="http://schemas.microsoft.com/office/drawing/2014/main" id="{26590D6A-5C40-4870-BBB0-98B8FD67098F}"/>
            </a:ext>
          </a:extLst>
        </xdr:cNvPr>
        <xdr:cNvSpPr/>
      </xdr:nvSpPr>
      <xdr:spPr>
        <a:xfrm>
          <a:off x="102414" y="4617036"/>
          <a:ext cx="2912456" cy="230686"/>
        </a:xfrm>
        <a:prstGeom prst="round2SameRect">
          <a:avLst>
            <a:gd name="adj1" fmla="val 47311"/>
            <a:gd name="adj2" fmla="val 0"/>
          </a:avLst>
        </a:prstGeom>
        <a:solidFill>
          <a:schemeClr val="accent2">
            <a:lumMod val="75000"/>
          </a:schemeClr>
        </a:solid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Max Contribution</a:t>
          </a:r>
          <a:r>
            <a:rPr lang="en-US" sz="1400" b="1" baseline="0"/>
            <a:t> Limits Summary:</a:t>
          </a:r>
          <a:endParaRPr lang="en-US" sz="1400" b="1"/>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85725</xdr:colOff>
      <xdr:row>0</xdr:row>
      <xdr:rowOff>142875</xdr:rowOff>
    </xdr:from>
    <xdr:to>
      <xdr:col>1</xdr:col>
      <xdr:colOff>2303062</xdr:colOff>
      <xdr:row>2</xdr:row>
      <xdr:rowOff>85725</xdr:rowOff>
    </xdr:to>
    <xdr:pic>
      <xdr:nvPicPr>
        <xdr:cNvPr id="8" name="Picture 7">
          <a:extLst>
            <a:ext uri="{FF2B5EF4-FFF2-40B4-BE49-F238E27FC236}">
              <a16:creationId xmlns:a16="http://schemas.microsoft.com/office/drawing/2014/main" id="{A45C1136-CDB9-4180-96A5-80DDAB16DC4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0975" y="142875"/>
          <a:ext cx="2217337" cy="714375"/>
        </a:xfrm>
        <a:prstGeom prst="rect">
          <a:avLst/>
        </a:prstGeom>
      </xdr:spPr>
    </xdr:pic>
    <xdr:clientData/>
  </xdr:twoCellAnchor>
  <xdr:twoCellAnchor>
    <xdr:from>
      <xdr:col>0</xdr:col>
      <xdr:colOff>85725</xdr:colOff>
      <xdr:row>3</xdr:row>
      <xdr:rowOff>0</xdr:rowOff>
    </xdr:from>
    <xdr:to>
      <xdr:col>1</xdr:col>
      <xdr:colOff>2897458</xdr:colOff>
      <xdr:row>3</xdr:row>
      <xdr:rowOff>227438</xdr:rowOff>
    </xdr:to>
    <xdr:sp macro="" textlink="">
      <xdr:nvSpPr>
        <xdr:cNvPr id="9" name="Rectangle: Top Corners Rounded 8">
          <a:extLst>
            <a:ext uri="{FF2B5EF4-FFF2-40B4-BE49-F238E27FC236}">
              <a16:creationId xmlns:a16="http://schemas.microsoft.com/office/drawing/2014/main" id="{469AE723-43D3-43BC-9610-64B6FC9DD964}"/>
            </a:ext>
          </a:extLst>
        </xdr:cNvPr>
        <xdr:cNvSpPr/>
      </xdr:nvSpPr>
      <xdr:spPr>
        <a:xfrm>
          <a:off x="85725" y="1009650"/>
          <a:ext cx="2906983" cy="227438"/>
        </a:xfrm>
        <a:prstGeom prst="round2SameRect">
          <a:avLst>
            <a:gd name="adj1" fmla="val 47311"/>
            <a:gd name="adj2" fmla="val 0"/>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LOAN</a:t>
          </a:r>
          <a:r>
            <a:rPr lang="en-US" sz="1400" b="1" baseline="0"/>
            <a:t> DETAILS</a:t>
          </a:r>
          <a:endParaRPr lang="en-US" sz="1400" b="1"/>
        </a:p>
      </xdr:txBody>
    </xdr:sp>
    <xdr:clientData/>
  </xdr:twoCellAnchor>
  <xdr:twoCellAnchor>
    <xdr:from>
      <xdr:col>4</xdr:col>
      <xdr:colOff>0</xdr:colOff>
      <xdr:row>3</xdr:row>
      <xdr:rowOff>0</xdr:rowOff>
    </xdr:from>
    <xdr:to>
      <xdr:col>8</xdr:col>
      <xdr:colOff>411433</xdr:colOff>
      <xdr:row>3</xdr:row>
      <xdr:rowOff>227438</xdr:rowOff>
    </xdr:to>
    <xdr:sp macro="" textlink="">
      <xdr:nvSpPr>
        <xdr:cNvPr id="10" name="Rectangle: Top Corners Rounded 9">
          <a:extLst>
            <a:ext uri="{FF2B5EF4-FFF2-40B4-BE49-F238E27FC236}">
              <a16:creationId xmlns:a16="http://schemas.microsoft.com/office/drawing/2014/main" id="{44DF5C67-DBA6-47C0-B788-859BFEF7D8CE}"/>
            </a:ext>
          </a:extLst>
        </xdr:cNvPr>
        <xdr:cNvSpPr/>
      </xdr:nvSpPr>
      <xdr:spPr>
        <a:xfrm>
          <a:off x="5562600" y="1009650"/>
          <a:ext cx="2906983" cy="227438"/>
        </a:xfrm>
        <a:prstGeom prst="round2SameRect">
          <a:avLst>
            <a:gd name="adj1" fmla="val 47311"/>
            <a:gd name="adj2" fmla="val 0"/>
          </a:avLst>
        </a:prstGeom>
        <a:solidFill>
          <a:schemeClr val="tx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1400" b="1"/>
            <a:t>Max</a:t>
          </a:r>
          <a:r>
            <a:rPr lang="en-US" sz="1400" b="1" baseline="0"/>
            <a:t> Contribution Eligibility</a:t>
          </a:r>
          <a:endParaRPr lang="en-US" sz="1400" b="1"/>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580374B-C671-4AF5-93BB-18D249BB64AE}" name="Table1" displayName="Table1" ref="H3:H5" totalsRowShown="0" headerRowDxfId="122" dataDxfId="120" headerRowBorderDxfId="121" tableBorderDxfId="119" totalsRowBorderDxfId="118">
  <autoFilter ref="H3:H5" xr:uid="{F580374B-C671-4AF5-93BB-18D249BB64AE}"/>
  <tableColumns count="1">
    <tableColumn id="1" xr3:uid="{0F027E7A-F616-4159-96FC-DC141DBD2CFA}" name="Access_1099 List" dataDxfId="117"/>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277FB23C-E672-4662-B427-1EAECE2BFB49}" name="Table11" displayName="Table11" ref="B27:B37" totalsRowShown="0" headerRowDxfId="68" dataDxfId="66" headerRowBorderDxfId="67" tableBorderDxfId="65" totalsRowBorderDxfId="64">
  <autoFilter ref="B27:B37" xr:uid="{277FB23C-E672-4662-B427-1EAECE2BFB49}"/>
  <tableColumns count="1">
    <tableColumn id="1" xr3:uid="{2D3702AB-63ED-4649-BA5F-A97C2B72CD7E}" name="Seller List" dataDxfId="63"/>
  </tableColumns>
  <tableStyleInfo name="TableStyleMedium5"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BCF7A4C-562C-494A-A6E9-9B108A710FB3}" name="Table12" displayName="Table12" ref="B15:B20" totalsRowShown="0" headerRowDxfId="62" dataDxfId="60" headerRowBorderDxfId="61" tableBorderDxfId="59" totalsRowBorderDxfId="58">
  <autoFilter ref="B15:B20" xr:uid="{0BCF7A4C-562C-494A-A6E9-9B108A710FB3}"/>
  <tableColumns count="1">
    <tableColumn id="1" xr3:uid="{67564B74-DEAD-43E7-A48D-3589EA018D9E}" name="Subsidy Source" dataDxfId="57"/>
  </tableColumns>
  <tableStyleInfo name="TableStyleMedium5"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196C67C-3426-4B15-9275-3A2788F21D14}" name="Table13" displayName="Table13" ref="B39:B49" totalsRowShown="0" headerRowDxfId="56" dataDxfId="21" headerRowBorderDxfId="55" tableBorderDxfId="54" totalsRowBorderDxfId="53">
  <autoFilter ref="B39:B49" xr:uid="{6196C67C-3426-4B15-9275-3A2788F21D14}"/>
  <tableColumns count="1">
    <tableColumn id="1" xr3:uid="{F6F63498-8976-4DDA-82AE-3FC889BDCE1D}" name="Lender List" dataDxfId="22"/>
  </tableColumns>
  <tableStyleInfo name="TableStyleMedium5"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A12B6B02-C2B4-4920-884F-AB7575514738}" name="Table1115" displayName="Table1115" ref="B51:B61" totalsRowShown="0" headerRowDxfId="52" dataDxfId="50" headerRowBorderDxfId="51" tableBorderDxfId="49" totalsRowBorderDxfId="48">
  <autoFilter ref="B51:B61" xr:uid="{A12B6B02-C2B4-4920-884F-AB7575514738}"/>
  <tableColumns count="1">
    <tableColumn id="1" xr3:uid="{3E230A53-C27E-43F6-8538-D2D25A5F1115}" name="ListingAgent List" dataDxfId="47"/>
  </tableColumns>
  <tableStyleInfo name="TableStyleMedium5"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3A3CE8A-4B2E-4ABC-AA50-B5C1FE3530E1}" name="Table111516" displayName="Table111516" ref="B63:B73" totalsRowShown="0" headerRowDxfId="46" dataDxfId="44" headerRowBorderDxfId="45" tableBorderDxfId="43" totalsRowBorderDxfId="42">
  <autoFilter ref="B63:B73" xr:uid="{03A3CE8A-4B2E-4ABC-AA50-B5C1FE3530E1}"/>
  <tableColumns count="1">
    <tableColumn id="1" xr3:uid="{98FB2A0A-8BFB-4C3C-BFFB-4885DD7E739E}" name="SellingAgent List" dataDxfId="41"/>
  </tableColumns>
  <tableStyleInfo name="TableStyleMedium5"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6A28E191-7B89-4BEF-81BE-27A4DCA7A4A0}" name="Table1617" displayName="Table1617" ref="H15:H17" totalsRowShown="0" headerRowDxfId="40" dataDxfId="38" headerRowBorderDxfId="39" tableBorderDxfId="37" totalsRowBorderDxfId="36">
  <autoFilter ref="H15:H17" xr:uid="{6A28E191-7B89-4BEF-81BE-27A4DCA7A4A0}"/>
  <tableColumns count="1">
    <tableColumn id="1" xr3:uid="{E1602536-7221-4CC3-8037-81FCB516AEF0}" name="Access_PL_Only List" dataDxfId="35"/>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FCBC11DC-41C1-43FD-8CEA-B8B8A9763EE9}" name="Table21118" displayName="Table21118" ref="F37:F39" totalsRowShown="0" headerRowDxfId="34" dataDxfId="32" headerRowBorderDxfId="33" tableBorderDxfId="31" totalsRowBorderDxfId="30">
  <autoFilter ref="F37:F39" xr:uid="{FCBC11DC-41C1-43FD-8CEA-B8B8A9763EE9}"/>
  <tableColumns count="1">
    <tableColumn id="1" xr3:uid="{5807BCEA-FE98-4E63-B5BF-3B966076E863}" name="JumboElite List" dataDxfId="29"/>
  </tableColumns>
  <tableStyleInfo name="TableStyleMedium7"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3ADDE16D-B821-4E3B-AFB6-D4759EAC6257}" name="Borrower" displayName="Borrower" ref="B22:B25" totalsRowShown="0" headerRowDxfId="28" dataDxfId="27" headerRowBorderDxfId="25" tableBorderDxfId="26" totalsRowBorderDxfId="24">
  <autoFilter ref="B22:B25" xr:uid="{3ADDE16D-B821-4E3B-AFB6-D4759EAC6257}"/>
  <tableColumns count="1">
    <tableColumn id="1" xr3:uid="{0502D208-CD97-47D1-914C-6D268AA0FE04}" name="Borrower List" dataDxfId="23"/>
  </tableColumns>
  <tableStyleInfo name="TableStyleMedium5"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66A64F-5B8B-4328-BC6E-094B0DA2D96B}" name="Table2" displayName="Table2" ref="F3:F8" totalsRowShown="0" headerRowDxfId="116" dataDxfId="114" headerRowBorderDxfId="115" tableBorderDxfId="113" totalsRowBorderDxfId="112">
  <autoFilter ref="F3:F8" xr:uid="{1566A64F-5B8B-4328-BC6E-094B0DA2D96B}"/>
  <tableColumns count="1">
    <tableColumn id="1" xr3:uid="{E30EC150-967E-4C81-9FF5-EC5D7334FB5A}" name="FHA List" dataDxfId="111"/>
  </tableColumns>
  <tableStyleInfo name="TableStyleMedium7"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7133773A-CB97-415C-A02C-1688F2E1A086}" name="Table3" displayName="Table3" ref="B3:B13" totalsRowShown="0" headerRowDxfId="110" dataDxfId="108" headerRowBorderDxfId="109" tableBorderDxfId="107" totalsRowBorderDxfId="106">
  <autoFilter ref="B3:B13" xr:uid="{7133773A-CB97-415C-A02C-1688F2E1A086}"/>
  <tableColumns count="1">
    <tableColumn id="1" xr3:uid="{58599F21-6AA2-463C-84B8-5B701953E3D2}" name="Program List" dataDxfId="105"/>
  </tableColumns>
  <tableStyleInfo name="TableStyleMedium7"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1EE1686-983E-47CC-A760-1128DB20AE75}" name="Table15" displayName="Table15" ref="H7:H9" totalsRowShown="0" headerRowDxfId="104" dataDxfId="102" headerRowBorderDxfId="103" tableBorderDxfId="101" totalsRowBorderDxfId="100">
  <autoFilter ref="H7:H9" xr:uid="{E1EE1686-983E-47CC-A760-1128DB20AE75}"/>
  <tableColumns count="1">
    <tableColumn id="1" xr3:uid="{8B2944F5-AFFC-426F-8464-1A56686479D4}" name="Access_BankStatements List" dataDxfId="99"/>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8136CB4-1951-4CFF-8A21-522A5C845EF1}" name="Table16" displayName="Table16" ref="H11:H13" totalsRowShown="0" headerRowDxfId="98" dataDxfId="96" headerRowBorderDxfId="97" tableBorderDxfId="95" totalsRowBorderDxfId="94">
  <autoFilter ref="H11:H13" xr:uid="{A8136CB4-1951-4CFF-8A21-522A5C845EF1}"/>
  <tableColumns count="1">
    <tableColumn id="1" xr3:uid="{F25961B0-A1D9-4A75-BBB0-2FB395BD447C}" name="Access_FullDoc List" dataDxfId="93"/>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D46E6A6-A284-4968-BE99-41C124075DEC}" name="Table27" displayName="Table27" ref="F10:F15" totalsRowShown="0" headerRowDxfId="92" dataDxfId="90" headerRowBorderDxfId="91" tableBorderDxfId="89" totalsRowBorderDxfId="88">
  <autoFilter ref="F10:F15" xr:uid="{3D46E6A6-A284-4968-BE99-41C124075DEC}"/>
  <tableColumns count="1">
    <tableColumn id="1" xr3:uid="{A73BC6A0-1AF5-4D8F-9BB4-E92B385D22FC}" name="FHLMC List" dataDxfId="87"/>
  </tableColumns>
  <tableStyleInfo name="TableStyleMedium7"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8437AF-87D2-4900-88FB-269E0EA8A17E}" name="Table28" displayName="Table28" ref="F17:F22" totalsRowShown="0" headerRowDxfId="86" dataDxfId="84" headerRowBorderDxfId="85" tableBorderDxfId="83" totalsRowBorderDxfId="82">
  <autoFilter ref="F17:F22" xr:uid="{4F8437AF-87D2-4900-88FB-269E0EA8A17E}"/>
  <tableColumns count="1">
    <tableColumn id="1" xr3:uid="{7A1B7AF3-C8AB-406D-9319-E6DED6506FB4}" name="FNMA List" dataDxfId="81"/>
  </tableColumns>
  <tableStyleInfo name="TableStyleMedium7"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8387851B-A41C-484A-A81A-B977611B9CD9}" name="Table289" displayName="Table289" ref="F24:F29" totalsRowShown="0" headerRowDxfId="80" dataDxfId="78" headerRowBorderDxfId="79" tableBorderDxfId="77" totalsRowBorderDxfId="76">
  <autoFilter ref="F24:F29" xr:uid="{8387851B-A41C-484A-A81A-B977611B9CD9}"/>
  <tableColumns count="1">
    <tableColumn id="1" xr3:uid="{F9640713-879C-4971-8BA0-D727DF4F0530}" name="VA List" dataDxfId="75"/>
  </tableColumns>
  <tableStyleInfo name="TableStyleMedium7"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BD2841F-865E-420D-93EA-68D28F9B2FFE}" name="Table2810" displayName="Table2810" ref="F31:F35" totalsRowShown="0" headerRowDxfId="74" dataDxfId="72" headerRowBorderDxfId="73" tableBorderDxfId="71" totalsRowBorderDxfId="70">
  <autoFilter ref="F31:F35" xr:uid="{DBD2841F-865E-420D-93EA-68D28F9B2FFE}"/>
  <tableColumns count="1">
    <tableColumn id="1" xr3:uid="{A83D3568-3455-4AAA-921F-02B6948C6F1D}" name="USDA List" dataDxfId="69"/>
  </tableColumns>
  <tableStyleInfo name="TableStyleMedium7"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table" Target="../tables/table8.xml"/><Relationship Id="rId13" Type="http://schemas.openxmlformats.org/officeDocument/2006/relationships/table" Target="../tables/table13.xml"/><Relationship Id="rId3" Type="http://schemas.openxmlformats.org/officeDocument/2006/relationships/table" Target="../tables/table3.xml"/><Relationship Id="rId7" Type="http://schemas.openxmlformats.org/officeDocument/2006/relationships/table" Target="../tables/table7.xml"/><Relationship Id="rId12" Type="http://schemas.openxmlformats.org/officeDocument/2006/relationships/table" Target="../tables/table12.xml"/><Relationship Id="rId17" Type="http://schemas.openxmlformats.org/officeDocument/2006/relationships/table" Target="../tables/table17.xml"/><Relationship Id="rId2" Type="http://schemas.openxmlformats.org/officeDocument/2006/relationships/table" Target="../tables/table2.xml"/><Relationship Id="rId16" Type="http://schemas.openxmlformats.org/officeDocument/2006/relationships/table" Target="../tables/table16.xml"/><Relationship Id="rId1" Type="http://schemas.openxmlformats.org/officeDocument/2006/relationships/table" Target="../tables/table1.xml"/><Relationship Id="rId6" Type="http://schemas.openxmlformats.org/officeDocument/2006/relationships/table" Target="../tables/table6.xml"/><Relationship Id="rId11" Type="http://schemas.openxmlformats.org/officeDocument/2006/relationships/table" Target="../tables/table11.xml"/><Relationship Id="rId5" Type="http://schemas.openxmlformats.org/officeDocument/2006/relationships/table" Target="../tables/table5.xml"/><Relationship Id="rId15" Type="http://schemas.openxmlformats.org/officeDocument/2006/relationships/table" Target="../tables/table15.xml"/><Relationship Id="rId10" Type="http://schemas.openxmlformats.org/officeDocument/2006/relationships/table" Target="../tables/table10.xml"/><Relationship Id="rId4" Type="http://schemas.openxmlformats.org/officeDocument/2006/relationships/table" Target="../tables/table4.xml"/><Relationship Id="rId9" Type="http://schemas.openxmlformats.org/officeDocument/2006/relationships/table" Target="../tables/table9.xml"/><Relationship Id="rId14" Type="http://schemas.openxmlformats.org/officeDocument/2006/relationships/table" Target="../tables/table1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4BA10C-AE9F-491F-B2C8-56F8412BEFCA}">
  <dimension ref="B2:R30"/>
  <sheetViews>
    <sheetView showGridLines="0" showRowColHeaders="0" tabSelected="1" zoomScaleNormal="100" zoomScalePageLayoutView="70" workbookViewId="0">
      <selection activeCell="C7" sqref="C7"/>
    </sheetView>
  </sheetViews>
  <sheetFormatPr defaultRowHeight="15" x14ac:dyDescent="0.25"/>
  <cols>
    <col min="1" max="1" width="1.42578125" customWidth="1"/>
    <col min="2" max="2" width="43.7109375" customWidth="1"/>
    <col min="3" max="3" width="34.7109375" customWidth="1"/>
    <col min="4" max="4" width="2" customWidth="1"/>
    <col min="5" max="5" width="9.7109375" customWidth="1"/>
    <col min="6" max="6" width="10.140625" customWidth="1"/>
    <col min="7" max="7" width="7.5703125" customWidth="1"/>
    <col min="9" max="9" width="7.7109375" customWidth="1"/>
    <col min="10" max="10" width="9" customWidth="1"/>
    <col min="11" max="11" width="7.7109375" customWidth="1"/>
    <col min="12" max="12" width="7.85546875" customWidth="1"/>
    <col min="13" max="13" width="7.7109375" customWidth="1"/>
    <col min="14" max="14" width="9" customWidth="1"/>
    <col min="15" max="15" width="9.42578125" customWidth="1"/>
    <col min="16" max="17" width="9" customWidth="1"/>
    <col min="18" max="18" width="9.28515625" customWidth="1"/>
    <col min="20" max="20" width="26.85546875" customWidth="1"/>
  </cols>
  <sheetData>
    <row r="2" spans="2:18" ht="45.75" customHeight="1" x14ac:dyDescent="0.25">
      <c r="C2" s="25"/>
      <c r="D2" s="66" t="s">
        <v>0</v>
      </c>
      <c r="E2" s="66"/>
      <c r="F2" s="66"/>
      <c r="G2" s="66"/>
      <c r="H2" s="66"/>
      <c r="I2" s="66"/>
      <c r="J2" s="66"/>
      <c r="K2" s="66"/>
      <c r="L2" s="66"/>
      <c r="M2" s="66"/>
      <c r="N2" s="66"/>
      <c r="O2" s="66"/>
      <c r="P2" s="25"/>
      <c r="Q2" s="25"/>
      <c r="R2" s="25"/>
    </row>
    <row r="3" spans="2:18" ht="18.75" customHeight="1" x14ac:dyDescent="0.25"/>
    <row r="4" spans="2:18" ht="18.75" customHeight="1" x14ac:dyDescent="0.3">
      <c r="B4" s="54" t="s">
        <v>1</v>
      </c>
      <c r="C4" s="88"/>
      <c r="D4" s="88"/>
      <c r="F4" s="54" t="s">
        <v>2</v>
      </c>
      <c r="G4" s="88"/>
      <c r="H4" s="88"/>
      <c r="I4" s="88"/>
      <c r="J4" s="88"/>
      <c r="K4" s="54"/>
      <c r="L4" s="54"/>
      <c r="M4" s="54"/>
    </row>
    <row r="5" spans="2:18" ht="18.75" customHeight="1" x14ac:dyDescent="0.25"/>
    <row r="6" spans="2:18" ht="18.75" x14ac:dyDescent="0.3">
      <c r="B6" s="6"/>
      <c r="E6" s="98"/>
      <c r="F6" s="98"/>
      <c r="G6" s="98"/>
      <c r="H6" s="98"/>
      <c r="I6" s="98"/>
      <c r="J6" s="98"/>
      <c r="K6" s="98"/>
      <c r="L6" s="98"/>
      <c r="M6" s="98"/>
      <c r="N6" s="98"/>
      <c r="O6" s="98"/>
      <c r="P6" s="98"/>
      <c r="Q6" s="98"/>
      <c r="R6" s="98"/>
    </row>
    <row r="7" spans="2:18" ht="19.5" customHeight="1" x14ac:dyDescent="0.25">
      <c r="B7" s="53" t="s">
        <v>3</v>
      </c>
      <c r="C7" s="13"/>
      <c r="E7" s="59" t="s">
        <v>4</v>
      </c>
      <c r="F7" s="59"/>
      <c r="G7" s="62" t="s">
        <v>5</v>
      </c>
      <c r="H7" s="62"/>
      <c r="I7" s="62" t="s">
        <v>6</v>
      </c>
      <c r="J7" s="62"/>
      <c r="K7" s="62" t="s">
        <v>7</v>
      </c>
      <c r="L7" s="62"/>
      <c r="M7" s="62" t="s">
        <v>8</v>
      </c>
      <c r="N7" s="62"/>
      <c r="O7" s="62" t="s">
        <v>9</v>
      </c>
      <c r="P7" s="62"/>
      <c r="Q7" s="62" t="s">
        <v>10</v>
      </c>
      <c r="R7" s="62"/>
    </row>
    <row r="8" spans="2:18" ht="20.100000000000001" customHeight="1" x14ac:dyDescent="0.25">
      <c r="B8" s="2" t="s">
        <v>11</v>
      </c>
      <c r="C8" s="12"/>
      <c r="E8" s="60"/>
      <c r="F8" s="60"/>
      <c r="G8" s="63"/>
      <c r="H8" s="63"/>
      <c r="I8" s="63"/>
      <c r="J8" s="63"/>
      <c r="K8" s="63"/>
      <c r="L8" s="63"/>
      <c r="M8" s="63"/>
      <c r="N8" s="63"/>
      <c r="O8" s="63"/>
      <c r="P8" s="63"/>
      <c r="Q8" s="63"/>
      <c r="R8" s="63"/>
    </row>
    <row r="9" spans="2:18" ht="20.100000000000001" customHeight="1" x14ac:dyDescent="0.3">
      <c r="B9" s="2" t="s">
        <v>103</v>
      </c>
      <c r="C9" s="12"/>
      <c r="E9" s="61">
        <v>1</v>
      </c>
      <c r="F9" s="61"/>
      <c r="G9" s="64" t="str">
        <f>IF(AND($C$16="3, 2, 1", $C$11="USDA"), "N/A for USDA",
   IF($C$16="1, 0", $C$13-1%,
   IF($C$16="1, 1",  $C$13-1%,
   IF($C$16="2, 1", $C$13-2%,
   IF($C$16="1, 1, 1", $C$13-1%,
   IF($C$16="3, 2, 1", $C$13-3%,
   "0"))))))</f>
        <v>0</v>
      </c>
      <c r="H9" s="64"/>
      <c r="I9" s="65">
        <f>'Hidden Data'!K10</f>
        <v>0</v>
      </c>
      <c r="J9" s="65"/>
      <c r="K9" s="70">
        <f>'Hidden Data'!N10</f>
        <v>0</v>
      </c>
      <c r="L9" s="70"/>
      <c r="M9" s="68">
        <v>12</v>
      </c>
      <c r="N9" s="68"/>
      <c r="O9" s="65">
        <f>I9-K9</f>
        <v>0</v>
      </c>
      <c r="P9" s="65"/>
      <c r="Q9" s="65">
        <f>O9*M9</f>
        <v>0</v>
      </c>
      <c r="R9" s="65"/>
    </row>
    <row r="10" spans="2:18" ht="20.100000000000001" customHeight="1" x14ac:dyDescent="0.3">
      <c r="B10" s="2" t="s">
        <v>13</v>
      </c>
      <c r="C10" s="12"/>
      <c r="E10" s="61">
        <f>IF(C16="1, 0", "", 2)</f>
        <v>2</v>
      </c>
      <c r="F10" s="61"/>
      <c r="G10" s="64" t="str">
        <f>IF(AND($C$16="3, 2, 1", $C$11="USDA"), "N/A for USDA",
IF($C$16="1, 0", "",
   IF($C$16="1, 1", $C$13-1%,
   IF($C$16="2, 1", $C$13-1%,
   IF($C$16="1, 1, 1", $C$13-1%,
   IF($C$16="3, 2, 1", $C$13-2%,
   "0"))))))</f>
        <v>0</v>
      </c>
      <c r="H10" s="64"/>
      <c r="I10" s="65">
        <f>IF(C16="1, 0", "", 'Hidden Data'!K10)</f>
        <v>0</v>
      </c>
      <c r="J10" s="65"/>
      <c r="K10" s="70">
        <f>IF($C$16="1, 0", "", 'Hidden Data'!Q10)</f>
        <v>0</v>
      </c>
      <c r="L10" s="70"/>
      <c r="M10" s="68">
        <f>IF(C16="1, 0", 0, 12)</f>
        <v>12</v>
      </c>
      <c r="N10" s="68"/>
      <c r="O10" s="65">
        <f>IF(C16="1, 0","",I10-K10)</f>
        <v>0</v>
      </c>
      <c r="P10" s="65"/>
      <c r="Q10" s="65">
        <f>IF(C16="1, 0", "0", O10*M10)</f>
        <v>0</v>
      </c>
      <c r="R10" s="65"/>
    </row>
    <row r="11" spans="2:18" ht="20.100000000000001" customHeight="1" x14ac:dyDescent="0.3">
      <c r="B11" s="2" t="s">
        <v>14</v>
      </c>
      <c r="C11" s="13"/>
      <c r="E11" s="61" t="str">
        <f>IF(OR($C$16="1, 1, 1", $C$16="3, 2, 1"),"3", "")</f>
        <v/>
      </c>
      <c r="F11" s="61"/>
      <c r="G11" s="97" t="str">
        <f>IF(AND($C$16="3, 2, 1", $C$11="USDA"), "N/A for USDA",
   IF(OR($C$16="1, 1, 1", $C$16="3, 2, 1"),$C$13-1%, ""))</f>
        <v/>
      </c>
      <c r="H11" s="97"/>
      <c r="I11" s="90" t="str">
        <f>IF(OR($C$16="1, 1, 1", $C$16="3, 2, 1"),'Hidden Data'!K10, "")</f>
        <v/>
      </c>
      <c r="J11" s="91"/>
      <c r="K11" s="73" t="str">
        <f>IF(OR(C16="1, 1, 1", $C$16="3, 2, 1"), 'Hidden Data'!T10, "")</f>
        <v/>
      </c>
      <c r="L11" s="74"/>
      <c r="M11" s="75" t="str">
        <f>IF(OR($C$16="1, 1, 1", $C$16="3, 2, 1"), 12, "0")</f>
        <v>0</v>
      </c>
      <c r="N11" s="76"/>
      <c r="O11" s="65" t="str">
        <f>IF(OR($C$16="1, 1, 1", $C$16="3, 2, 1"), I11-K11, "")</f>
        <v/>
      </c>
      <c r="P11" s="65"/>
      <c r="Q11" s="72" t="str">
        <f>IF(OR(C16="1, 1, 1", C16="3, 2, 1"), M11*O11,
  "0")</f>
        <v>0</v>
      </c>
      <c r="R11" s="72"/>
    </row>
    <row r="12" spans="2:18" ht="20.100000000000001" customHeight="1" x14ac:dyDescent="0.3">
      <c r="B12" s="2" t="s">
        <v>15</v>
      </c>
      <c r="C12" s="13"/>
      <c r="E12" s="94" t="s">
        <v>16</v>
      </c>
      <c r="F12" s="94"/>
      <c r="G12" s="95">
        <f>C13</f>
        <v>0</v>
      </c>
      <c r="H12" s="96"/>
      <c r="I12" s="77">
        <f>'Hidden Data'!K10</f>
        <v>0</v>
      </c>
      <c r="J12" s="77"/>
      <c r="K12" s="71">
        <f>'Hidden Data'!K10</f>
        <v>0</v>
      </c>
      <c r="L12" s="71"/>
      <c r="M12" s="69">
        <f>C15-M9-M10-M11</f>
        <v>-24</v>
      </c>
      <c r="N12" s="69"/>
      <c r="O12" s="67"/>
      <c r="P12" s="67"/>
      <c r="Q12" s="67"/>
      <c r="R12" s="67"/>
    </row>
    <row r="13" spans="2:18" ht="20.100000000000001" customHeight="1" x14ac:dyDescent="0.3">
      <c r="B13" s="2" t="s">
        <v>17</v>
      </c>
      <c r="C13" s="14"/>
      <c r="E13" s="87" t="str">
        <f>IF(AND(C17&gt;80%, COUNTIF(C11, "*ACCESS*")), "Access Ineligible for Buydown with &gt; 80% LTV; see guidelines for additional restrictions", "OTHER")</f>
        <v>OTHER</v>
      </c>
      <c r="F13" s="87"/>
      <c r="G13" s="87"/>
      <c r="H13" s="87"/>
      <c r="I13" s="87"/>
      <c r="J13" s="87"/>
      <c r="K13" s="87"/>
      <c r="L13" s="87"/>
      <c r="M13" s="87"/>
      <c r="N13" s="87"/>
      <c r="O13" s="87"/>
      <c r="P13" s="87"/>
      <c r="Q13" s="87"/>
      <c r="R13" s="87"/>
    </row>
    <row r="14" spans="2:18" ht="20.100000000000001" customHeight="1" x14ac:dyDescent="0.25">
      <c r="B14" s="2" t="s">
        <v>18</v>
      </c>
      <c r="C14" s="47"/>
    </row>
    <row r="15" spans="2:18" ht="20.100000000000001" customHeight="1" x14ac:dyDescent="0.25">
      <c r="B15" s="2" t="s">
        <v>19</v>
      </c>
      <c r="C15" s="13"/>
      <c r="E15" s="92" t="s">
        <v>20</v>
      </c>
      <c r="F15" s="93"/>
      <c r="G15" s="93"/>
      <c r="H15" s="93"/>
      <c r="I15" s="93"/>
      <c r="J15" s="93"/>
      <c r="K15" s="18"/>
      <c r="L15" s="18"/>
      <c r="M15" s="18"/>
      <c r="N15" s="19"/>
    </row>
    <row r="16" spans="2:18" ht="20.100000000000001" customHeight="1" x14ac:dyDescent="0.3">
      <c r="B16" s="2" t="s">
        <v>21</v>
      </c>
      <c r="C16" s="13"/>
      <c r="E16" s="81" t="s">
        <v>22</v>
      </c>
      <c r="F16" s="82"/>
      <c r="G16" s="82"/>
      <c r="H16" s="82"/>
      <c r="I16" s="82"/>
      <c r="J16" s="82"/>
      <c r="K16" s="82"/>
      <c r="L16" s="78">
        <f>Q9+Q10+Q11</f>
        <v>0</v>
      </c>
      <c r="M16" s="79"/>
      <c r="N16" s="80"/>
    </row>
    <row r="17" spans="2:18" ht="20.100000000000001" customHeight="1" x14ac:dyDescent="0.3">
      <c r="B17" s="2" t="s">
        <v>23</v>
      </c>
      <c r="C17" s="22" t="str">
        <f>IFERROR((C9+C10)/C8,"")</f>
        <v/>
      </c>
      <c r="E17" s="83" t="s">
        <v>24</v>
      </c>
      <c r="F17" s="84"/>
      <c r="G17" s="84"/>
      <c r="H17" s="84"/>
      <c r="I17" s="84"/>
      <c r="J17" s="84"/>
      <c r="K17" s="84"/>
      <c r="L17" s="85" t="str">
        <f>IFERROR(L16/C8,"")</f>
        <v/>
      </c>
      <c r="M17" s="85"/>
      <c r="N17" s="86"/>
    </row>
    <row r="18" spans="2:18" ht="20.100000000000001" customHeight="1" x14ac:dyDescent="0.25">
      <c r="B18" s="2" t="s">
        <v>25</v>
      </c>
      <c r="C18" s="4">
        <f>IF(C11="FHA",6%,
IF(C11="VA",4%,
IF(C11="USDA",6%,
IF(C17&gt;90%,3%,
IF(C17&gt;75%,6%,
9%)))))</f>
        <v>0.03</v>
      </c>
    </row>
    <row r="19" spans="2:18" ht="20.100000000000001" customHeight="1" x14ac:dyDescent="0.25">
      <c r="B19" s="3" t="s">
        <v>26</v>
      </c>
      <c r="C19" s="5" t="str">
        <f>IF(ISBLANK(C8), "", INT(C8*C18))</f>
        <v/>
      </c>
      <c r="E19" s="21"/>
      <c r="F19" s="21"/>
      <c r="G19" s="21"/>
      <c r="H19" s="21"/>
      <c r="I19" s="21"/>
      <c r="J19" s="21"/>
      <c r="K19" s="21"/>
      <c r="L19" s="21"/>
      <c r="M19" s="21"/>
      <c r="N19" s="21"/>
    </row>
    <row r="20" spans="2:18" ht="16.5" customHeight="1" x14ac:dyDescent="0.25">
      <c r="B20" s="89" t="s">
        <v>27</v>
      </c>
      <c r="C20" s="89"/>
      <c r="D20" s="89"/>
      <c r="E20" s="89"/>
      <c r="F20" s="89"/>
      <c r="G20" s="89"/>
      <c r="H20" s="89"/>
      <c r="O20" s="21"/>
      <c r="P20" s="21"/>
      <c r="Q20" s="21"/>
      <c r="R20" s="21"/>
    </row>
    <row r="21" spans="2:18" ht="16.5" customHeight="1" x14ac:dyDescent="0.25">
      <c r="B21" s="89"/>
      <c r="C21" s="89"/>
      <c r="D21" s="89"/>
      <c r="E21" s="89"/>
      <c r="F21" s="89"/>
      <c r="G21" s="89"/>
      <c r="H21" s="89"/>
    </row>
    <row r="22" spans="2:18" ht="15" customHeight="1" x14ac:dyDescent="0.25">
      <c r="B22" s="20"/>
      <c r="C22" s="20"/>
      <c r="D22" s="21"/>
    </row>
    <row r="23" spans="2:18" x14ac:dyDescent="0.25">
      <c r="B23" s="23" t="s">
        <v>28</v>
      </c>
      <c r="C23" s="24">
        <v>0.03</v>
      </c>
    </row>
    <row r="24" spans="2:18" x14ac:dyDescent="0.25">
      <c r="B24" s="23" t="s">
        <v>29</v>
      </c>
      <c r="C24" s="24">
        <v>0.06</v>
      </c>
    </row>
    <row r="25" spans="2:18" x14ac:dyDescent="0.25">
      <c r="B25" s="23" t="s">
        <v>30</v>
      </c>
      <c r="C25" s="24">
        <v>0.09</v>
      </c>
    </row>
    <row r="26" spans="2:18" x14ac:dyDescent="0.25">
      <c r="B26" s="23" t="s">
        <v>31</v>
      </c>
      <c r="C26" s="24">
        <v>0.06</v>
      </c>
    </row>
    <row r="27" spans="2:18" x14ac:dyDescent="0.25">
      <c r="B27" s="23" t="s">
        <v>101</v>
      </c>
      <c r="C27" s="24" t="s">
        <v>32</v>
      </c>
    </row>
    <row r="28" spans="2:18" x14ac:dyDescent="0.25">
      <c r="B28" s="23" t="s">
        <v>33</v>
      </c>
      <c r="C28" s="24">
        <v>0.06</v>
      </c>
      <c r="E28" s="50"/>
      <c r="F28" s="51"/>
      <c r="G28" s="51"/>
      <c r="H28" s="51"/>
      <c r="I28" s="51"/>
      <c r="J28" s="52"/>
      <c r="K28" s="52"/>
      <c r="L28" s="52"/>
      <c r="M28" s="52"/>
      <c r="N28" s="52"/>
    </row>
    <row r="29" spans="2:18" x14ac:dyDescent="0.25">
      <c r="B29" s="23" t="s">
        <v>34</v>
      </c>
      <c r="C29" s="24" t="s">
        <v>35</v>
      </c>
      <c r="D29" s="49" t="s">
        <v>36</v>
      </c>
    </row>
    <row r="30" spans="2:18" ht="23.25" customHeight="1" x14ac:dyDescent="0.25">
      <c r="B30" s="48" t="s">
        <v>105</v>
      </c>
    </row>
  </sheetData>
  <sheetProtection algorithmName="SHA-512" hashValue="FDPC0D8F7iwWiU10AGB4d15pXhLeSWfCh6gmmgMpFBbC3s8M+LS13SmN75amBIjGfCLWMWelf9g/XtKyjnFjqQ==" saltValue="dUeuLvF+Mt8VBhDkXsl51A==" spinCount="100000" sheet="1" selectLockedCells="1"/>
  <mergeCells count="46">
    <mergeCell ref="G4:J4"/>
    <mergeCell ref="C4:D4"/>
    <mergeCell ref="B20:H21"/>
    <mergeCell ref="I11:J11"/>
    <mergeCell ref="E15:J15"/>
    <mergeCell ref="E10:F10"/>
    <mergeCell ref="E12:F12"/>
    <mergeCell ref="G10:H10"/>
    <mergeCell ref="G12:H12"/>
    <mergeCell ref="E11:F11"/>
    <mergeCell ref="G11:H11"/>
    <mergeCell ref="E6:R6"/>
    <mergeCell ref="O7:P8"/>
    <mergeCell ref="Q7:R8"/>
    <mergeCell ref="K9:L9"/>
    <mergeCell ref="O9:P9"/>
    <mergeCell ref="L16:N16"/>
    <mergeCell ref="E16:K16"/>
    <mergeCell ref="E17:K17"/>
    <mergeCell ref="L17:N17"/>
    <mergeCell ref="E13:R13"/>
    <mergeCell ref="D2:O2"/>
    <mergeCell ref="Q12:R12"/>
    <mergeCell ref="M9:N9"/>
    <mergeCell ref="M10:N10"/>
    <mergeCell ref="M12:N12"/>
    <mergeCell ref="K10:L10"/>
    <mergeCell ref="K12:L12"/>
    <mergeCell ref="O10:P10"/>
    <mergeCell ref="O12:P12"/>
    <mergeCell ref="Q10:R10"/>
    <mergeCell ref="Q11:R11"/>
    <mergeCell ref="O11:P11"/>
    <mergeCell ref="K11:L11"/>
    <mergeCell ref="M11:N11"/>
    <mergeCell ref="I10:J10"/>
    <mergeCell ref="I12:J12"/>
    <mergeCell ref="E7:F8"/>
    <mergeCell ref="E9:F9"/>
    <mergeCell ref="G7:H8"/>
    <mergeCell ref="G9:H9"/>
    <mergeCell ref="Q9:R9"/>
    <mergeCell ref="I7:J8"/>
    <mergeCell ref="I9:J9"/>
    <mergeCell ref="K7:L8"/>
    <mergeCell ref="M7:N8"/>
  </mergeCells>
  <conditionalFormatting sqref="E13">
    <cfRule type="containsText" dxfId="20" priority="1" operator="containsText" text="Access">
      <formula>NOT(ISERROR(SEARCH("Access",E13)))</formula>
    </cfRule>
    <cfRule type="containsText" dxfId="19" priority="2" operator="containsText" text="other">
      <formula>NOT(ISERROR(SEARCH("other",E13)))</formula>
    </cfRule>
  </conditionalFormatting>
  <conditionalFormatting sqref="G9:H11">
    <cfRule type="containsText" dxfId="18" priority="3" operator="containsText" text="n/a">
      <formula>NOT(ISERROR(SEARCH("n/a",G9)))</formula>
    </cfRule>
  </conditionalFormatting>
  <conditionalFormatting sqref="M10:M11 Q10:Q11">
    <cfRule type="expression" dxfId="17" priority="6">
      <formula>$C$16="1, 0"</formula>
    </cfRule>
  </conditionalFormatting>
  <conditionalFormatting sqref="M11:N11 Q11:R11">
    <cfRule type="expression" dxfId="16" priority="4">
      <formula>$C$16="3, 2, 1"</formula>
    </cfRule>
    <cfRule type="expression" dxfId="15" priority="5">
      <formula>$C$16="1, 1, 1"</formula>
    </cfRule>
  </conditionalFormatting>
  <dataValidations count="2">
    <dataValidation type="list" allowBlank="1" showInputMessage="1" showErrorMessage="1" errorTitle="Error" sqref="C16" xr:uid="{595669C3-2AD7-49A8-934F-906252DF5B2E}">
      <formula1>INDIRECT(C11)</formula1>
    </dataValidation>
    <dataValidation type="list" allowBlank="1" showInputMessage="1" showErrorMessage="1" sqref="C11" xr:uid="{F6A9AAF3-8422-42EB-A159-2A4F00B34717}">
      <formula1>INDIRECT(C7)</formula1>
    </dataValidation>
  </dataValidations>
  <printOptions horizontalCentered="1" verticalCentered="1"/>
  <pageMargins left="0.7" right="0.7" top="0.75" bottom="0.75" header="0.3" footer="0.3"/>
  <pageSetup scale="51" orientation="landscape" horizontalDpi="200" verticalDpi="200" r:id="rId1"/>
  <ignoredErrors>
    <ignoredError sqref="M10 O10 Q10" twoDigitTextYear="1"/>
    <ignoredError sqref="I10" twoDigitTextYear="1" formula="1"/>
  </ignoredErrors>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B525AF42-20E8-44B4-93C9-96E7968C1C4D}">
          <x14:formula1>
            <xm:f>'Hidden Data'!$B$16:$B$20</xm:f>
          </x14:formula1>
          <xm:sqref>C7</xm:sqref>
        </x14:dataValidation>
        <x14:dataValidation type="list" allowBlank="1" showInputMessage="1" showErrorMessage="1" xr:uid="{558BCE26-AAF5-43A2-9E83-592D66FAC9D8}">
          <x14:formula1>
            <xm:f>'Hidden Data'!$D$4:$D$5</xm:f>
          </x14:formula1>
          <xm:sqref>C12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44A5A3-48C8-43BE-AE5C-84C25D59EE1D}">
  <dimension ref="B2:K25"/>
  <sheetViews>
    <sheetView showGridLines="0" showRowColHeaders="0" topLeftCell="B1" zoomScaleNormal="100" workbookViewId="0">
      <selection activeCell="C12" sqref="C12"/>
    </sheetView>
  </sheetViews>
  <sheetFormatPr defaultColWidth="9.140625" defaultRowHeight="15" x14ac:dyDescent="0.25"/>
  <cols>
    <col min="1" max="1" width="1.42578125" customWidth="1"/>
    <col min="2" max="2" width="68" customWidth="1"/>
    <col min="3" max="3" width="27.42578125" customWidth="1"/>
    <col min="4" max="4" width="2" customWidth="1"/>
    <col min="5" max="5" width="9.7109375" customWidth="1"/>
    <col min="6" max="6" width="10.140625" customWidth="1"/>
    <col min="7" max="7" width="7.5703125" customWidth="1"/>
    <col min="8" max="8" width="14.140625" customWidth="1"/>
    <col min="9" max="9" width="7.7109375" customWidth="1"/>
    <col min="10" max="10" width="9" customWidth="1"/>
    <col min="11" max="11" width="7.7109375" customWidth="1"/>
    <col min="12" max="12" width="7.85546875" customWidth="1"/>
    <col min="13" max="13" width="7.7109375" customWidth="1"/>
    <col min="14" max="14" width="9" customWidth="1"/>
    <col min="15" max="15" width="9.42578125" customWidth="1"/>
    <col min="16" max="17" width="9" customWidth="1"/>
    <col min="18" max="18" width="9.28515625" customWidth="1"/>
    <col min="20" max="20" width="26.85546875" customWidth="1"/>
  </cols>
  <sheetData>
    <row r="2" spans="2:11" ht="45.75" customHeight="1" x14ac:dyDescent="0.25">
      <c r="C2" s="105" t="s">
        <v>37</v>
      </c>
      <c r="D2" s="105"/>
      <c r="E2" s="105"/>
      <c r="F2" s="105"/>
      <c r="G2" s="105"/>
      <c r="H2" s="105"/>
      <c r="I2" s="105"/>
      <c r="J2" s="105"/>
      <c r="K2" s="105"/>
    </row>
    <row r="3" spans="2:11" ht="18.75" customHeight="1" x14ac:dyDescent="0.25">
      <c r="E3" s="26"/>
      <c r="F3" s="26"/>
      <c r="G3" s="26"/>
      <c r="H3" s="26"/>
      <c r="I3" s="26"/>
      <c r="J3" s="26"/>
      <c r="K3" s="26"/>
    </row>
    <row r="4" spans="2:11" ht="18.75" x14ac:dyDescent="0.3">
      <c r="B4" s="6"/>
      <c r="E4" s="107"/>
      <c r="F4" s="107"/>
      <c r="G4" s="107"/>
      <c r="H4" s="107"/>
      <c r="I4" s="107"/>
      <c r="J4" s="107"/>
      <c r="K4" s="107"/>
    </row>
    <row r="5" spans="2:11" ht="20.100000000000001" customHeight="1" x14ac:dyDescent="0.25">
      <c r="B5" s="53" t="s">
        <v>3</v>
      </c>
      <c r="C5" s="58">
        <f>IFERROR(Calculator!C7, "")</f>
        <v>0</v>
      </c>
      <c r="E5" s="101" t="s">
        <v>38</v>
      </c>
      <c r="F5" s="101"/>
      <c r="G5" s="101"/>
      <c r="H5" s="101"/>
      <c r="I5" s="102" t="str">
        <f>IF($C$13="yes", $C$12,
  IF($C$13="no", $C$11+C12,
""))</f>
        <v/>
      </c>
      <c r="J5" s="102"/>
      <c r="K5" s="102"/>
    </row>
    <row r="6" spans="2:11" ht="20.100000000000001" customHeight="1" x14ac:dyDescent="0.25">
      <c r="B6" s="27" t="s">
        <v>11</v>
      </c>
      <c r="C6" s="28">
        <f>Calculator!C8</f>
        <v>0</v>
      </c>
      <c r="E6" s="101" t="s">
        <v>39</v>
      </c>
      <c r="F6" s="101"/>
      <c r="G6" s="101"/>
      <c r="H6" s="101"/>
      <c r="I6" s="106" t="str">
        <f>IFERROR(I5/C6,"")</f>
        <v/>
      </c>
      <c r="J6" s="106"/>
      <c r="K6" s="106"/>
    </row>
    <row r="7" spans="2:11" ht="20.100000000000001" customHeight="1" x14ac:dyDescent="0.25">
      <c r="B7" s="27" t="s">
        <v>12</v>
      </c>
      <c r="C7" s="28">
        <f>Calculator!C9</f>
        <v>0</v>
      </c>
      <c r="E7" s="101" t="s">
        <v>40</v>
      </c>
      <c r="F7" s="101"/>
      <c r="G7" s="101"/>
      <c r="H7" s="101"/>
      <c r="I7" s="102" t="str">
        <f>IF($I$5="","",
  IF(I5&gt;C9, "$0 (Exceeds Max)",
$I$5-C11))</f>
        <v/>
      </c>
      <c r="J7" s="102"/>
      <c r="K7" s="102"/>
    </row>
    <row r="8" spans="2:11" ht="20.100000000000001" customHeight="1" x14ac:dyDescent="0.25">
      <c r="B8" s="27" t="s">
        <v>41</v>
      </c>
      <c r="C8" s="29">
        <f>Calculator!C18</f>
        <v>0.03</v>
      </c>
      <c r="E8" s="99" t="s">
        <v>42</v>
      </c>
      <c r="F8" s="99"/>
      <c r="G8" s="99"/>
      <c r="H8" s="99"/>
      <c r="I8" s="99"/>
      <c r="J8" s="99"/>
      <c r="K8" s="99"/>
    </row>
    <row r="9" spans="2:11" ht="20.100000000000001" customHeight="1" x14ac:dyDescent="0.25">
      <c r="B9" s="27" t="s">
        <v>43</v>
      </c>
      <c r="C9" s="30" t="str">
        <f>Calculator!C19</f>
        <v/>
      </c>
      <c r="E9" s="100"/>
      <c r="F9" s="100"/>
      <c r="G9" s="100"/>
      <c r="H9" s="100"/>
      <c r="I9" s="100"/>
      <c r="J9" s="100"/>
      <c r="K9" s="100"/>
    </row>
    <row r="10" spans="2:11" ht="20.100000000000001" customHeight="1" x14ac:dyDescent="0.25">
      <c r="B10" s="27" t="s">
        <v>44</v>
      </c>
      <c r="C10" s="31" t="str">
        <f>Calculator!L17</f>
        <v/>
      </c>
      <c r="E10" s="104" t="s">
        <v>45</v>
      </c>
      <c r="F10" s="104"/>
      <c r="G10" s="104"/>
      <c r="H10" s="104"/>
      <c r="I10" s="104"/>
      <c r="J10" s="104"/>
      <c r="K10" s="104"/>
    </row>
    <row r="11" spans="2:11" ht="20.100000000000001" customHeight="1" x14ac:dyDescent="0.25">
      <c r="B11" s="27" t="s">
        <v>46</v>
      </c>
      <c r="C11" s="32">
        <f>Calculator!L16</f>
        <v>0</v>
      </c>
      <c r="E11" s="104"/>
      <c r="F11" s="104"/>
      <c r="G11" s="104"/>
      <c r="H11" s="104"/>
      <c r="I11" s="104"/>
      <c r="J11" s="104"/>
      <c r="K11" s="104"/>
    </row>
    <row r="12" spans="2:11" ht="19.5" customHeight="1" x14ac:dyDescent="0.25">
      <c r="B12" s="27" t="s">
        <v>47</v>
      </c>
      <c r="C12" s="39"/>
      <c r="E12" s="104"/>
      <c r="F12" s="104"/>
      <c r="G12" s="104"/>
      <c r="H12" s="104"/>
      <c r="I12" s="104"/>
      <c r="J12" s="104"/>
      <c r="K12" s="104"/>
    </row>
    <row r="13" spans="2:11" ht="19.5" customHeight="1" x14ac:dyDescent="0.25">
      <c r="B13" s="33" t="s">
        <v>48</v>
      </c>
      <c r="C13" s="40"/>
      <c r="E13" s="104"/>
      <c r="F13" s="104"/>
      <c r="G13" s="104"/>
      <c r="H13" s="104"/>
      <c r="I13" s="104"/>
      <c r="J13" s="104"/>
      <c r="K13" s="104"/>
    </row>
    <row r="14" spans="2:11" ht="29.25" customHeight="1" x14ac:dyDescent="0.25">
      <c r="B14" s="103" t="str">
        <f>IF(C5="Lender","Note: Lender-paid subsidies might not be considered as an interested party contribution if paid for with premium pricing",
IF(C13="No","If answer is 'no' , an addendum to the contract must be conditioned for that clearly spells out the interested party contribution and buydown contribution amounts",
""))</f>
        <v/>
      </c>
      <c r="C14" s="103"/>
      <c r="E14" s="41"/>
      <c r="F14" s="41"/>
      <c r="G14" s="41"/>
      <c r="H14" s="41"/>
      <c r="I14" s="41"/>
      <c r="J14" s="41"/>
      <c r="K14" s="41"/>
    </row>
    <row r="15" spans="2:11" ht="20.100000000000001" customHeight="1" x14ac:dyDescent="0.25">
      <c r="B15" s="33" t="s">
        <v>38</v>
      </c>
      <c r="C15" s="32" t="str">
        <f>IF($C$13="yes", $C$12,
  IF($C$13="no", $C$11+C12,
""))</f>
        <v/>
      </c>
      <c r="D15" s="57"/>
      <c r="E15" s="57"/>
      <c r="F15" s="57"/>
      <c r="G15" s="57"/>
      <c r="H15" s="57"/>
      <c r="I15" s="57"/>
      <c r="J15" s="34"/>
      <c r="K15" s="34"/>
    </row>
    <row r="16" spans="2:11" ht="20.100000000000001" customHeight="1" x14ac:dyDescent="0.3">
      <c r="B16" s="57"/>
      <c r="C16" s="57"/>
      <c r="D16" s="57"/>
      <c r="E16" s="57"/>
      <c r="F16" s="57"/>
      <c r="G16" s="57"/>
      <c r="H16" s="57"/>
      <c r="I16" s="57"/>
      <c r="J16" s="35"/>
      <c r="K16" s="35"/>
    </row>
    <row r="17" spans="2:11" ht="23.25" customHeight="1" x14ac:dyDescent="0.25">
      <c r="B17" s="57"/>
      <c r="C17" s="57"/>
      <c r="E17" s="41"/>
    </row>
    <row r="18" spans="2:11" ht="29.25" customHeight="1" x14ac:dyDescent="0.25">
      <c r="B18" s="36"/>
      <c r="C18" s="36"/>
      <c r="E18" s="21"/>
      <c r="F18" s="21"/>
      <c r="G18" s="21"/>
      <c r="H18" s="21"/>
      <c r="I18" s="21"/>
      <c r="J18" s="21"/>
      <c r="K18" s="21"/>
    </row>
    <row r="19" spans="2:11" ht="15" customHeight="1" x14ac:dyDescent="0.25">
      <c r="B19" s="20"/>
      <c r="C19" s="20"/>
      <c r="D19" s="21"/>
    </row>
    <row r="20" spans="2:11" x14ac:dyDescent="0.25">
      <c r="B20" s="37"/>
      <c r="C20" s="38"/>
    </row>
    <row r="21" spans="2:11" x14ac:dyDescent="0.25">
      <c r="B21" s="37"/>
      <c r="C21" s="38"/>
    </row>
    <row r="22" spans="2:11" x14ac:dyDescent="0.25">
      <c r="B22" s="37"/>
      <c r="C22" s="38"/>
    </row>
    <row r="23" spans="2:11" x14ac:dyDescent="0.25">
      <c r="B23" s="37"/>
      <c r="C23" s="38"/>
    </row>
    <row r="24" spans="2:11" x14ac:dyDescent="0.25">
      <c r="B24" s="37"/>
      <c r="C24" s="38"/>
    </row>
    <row r="25" spans="2:11" x14ac:dyDescent="0.25">
      <c r="B25" s="37"/>
      <c r="C25" s="38"/>
    </row>
  </sheetData>
  <sheetProtection algorithmName="SHA-512" hashValue="o8oW0ExMfU0CfL0RSM/PosWtv3WRo2tTLKVAk2f02VRfVCsQp50RIAlG7b6vGinAz4iFFAd1ur887Cq52b7FMA==" saltValue="J3RhLN22CG4ke4VMfixI9w==" spinCount="100000" sheet="1" selectLockedCells="1"/>
  <mergeCells count="11">
    <mergeCell ref="C2:K2"/>
    <mergeCell ref="E5:H5"/>
    <mergeCell ref="I5:K5"/>
    <mergeCell ref="E6:H6"/>
    <mergeCell ref="I6:K6"/>
    <mergeCell ref="E4:K4"/>
    <mergeCell ref="E8:K9"/>
    <mergeCell ref="E7:H7"/>
    <mergeCell ref="I7:K7"/>
    <mergeCell ref="B14:C14"/>
    <mergeCell ref="E10:K13"/>
  </mergeCells>
  <conditionalFormatting sqref="B14">
    <cfRule type="expression" dxfId="14" priority="2">
      <formula>$C$13="no"</formula>
    </cfRule>
  </conditionalFormatting>
  <conditionalFormatting sqref="B14:C14">
    <cfRule type="expression" dxfId="13" priority="1">
      <formula>$C$5="Lender"</formula>
    </cfRule>
  </conditionalFormatting>
  <conditionalFormatting sqref="I5:K5">
    <cfRule type="expression" dxfId="12" priority="16">
      <formula>$I$5=""</formula>
    </cfRule>
    <cfRule type="cellIs" dxfId="11" priority="17" operator="equal">
      <formula>$C$9</formula>
    </cfRule>
    <cfRule type="cellIs" dxfId="10" priority="18" operator="lessThan">
      <formula>$C$9</formula>
    </cfRule>
    <cfRule type="cellIs" dxfId="9" priority="19" operator="greaterThan">
      <formula>$C$9</formula>
    </cfRule>
  </conditionalFormatting>
  <conditionalFormatting sqref="I6:K6">
    <cfRule type="expression" dxfId="8" priority="20">
      <formula>$I$6=""</formula>
    </cfRule>
    <cfRule type="cellIs" dxfId="7" priority="21" operator="lessThan">
      <formula>$C$8</formula>
    </cfRule>
    <cfRule type="cellIs" dxfId="6" priority="22" operator="equal">
      <formula>$C$8</formula>
    </cfRule>
    <cfRule type="cellIs" dxfId="5" priority="23" operator="greaterThan">
      <formula>$C$8</formula>
    </cfRule>
  </conditionalFormatting>
  <conditionalFormatting sqref="I7:K7">
    <cfRule type="cellIs" dxfId="4" priority="24" operator="lessThan">
      <formula>0</formula>
    </cfRule>
    <cfRule type="expression" dxfId="3" priority="25">
      <formula>$I$7=""</formula>
    </cfRule>
    <cfRule type="cellIs" dxfId="2" priority="26" operator="equal">
      <formula>$C$9</formula>
    </cfRule>
    <cfRule type="cellIs" dxfId="1" priority="27" operator="lessThan">
      <formula>$C$9</formula>
    </cfRule>
    <cfRule type="cellIs" dxfId="0" priority="28" operator="greaterThan">
      <formula>$C$9</formula>
    </cfRule>
  </conditionalFormatting>
  <pageMargins left="0.7" right="0.7" top="0.75" bottom="0.75" header="0.3" footer="0.3"/>
  <pageSetup scale="53" orientation="portrait" r:id="rId1"/>
  <colBreaks count="1" manualBreakCount="1">
    <brk id="11"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C3C4579-0D49-456C-97B9-DE6AC7DAD97E}">
          <x14:formula1>
            <xm:f>'Hidden Data'!$D$8:$D$9</xm:f>
          </x14:formula1>
          <xm:sqref>C13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B79A88-9252-431C-BDEB-BE74354AF72A}">
  <dimension ref="B2:T74"/>
  <sheetViews>
    <sheetView showGridLines="0" topLeftCell="A9" zoomScale="115" zoomScaleNormal="115" workbookViewId="0">
      <selection activeCell="B22" sqref="B22"/>
    </sheetView>
  </sheetViews>
  <sheetFormatPr defaultRowHeight="15" x14ac:dyDescent="0.25"/>
  <cols>
    <col min="2" max="2" width="35.5703125" customWidth="1"/>
    <col min="3" max="3" width="2.28515625" customWidth="1"/>
    <col min="4" max="4" width="18.28515625" customWidth="1"/>
    <col min="5" max="5" width="2" customWidth="1"/>
    <col min="6" max="6" width="18.85546875" customWidth="1"/>
    <col min="7" max="7" width="2.42578125" customWidth="1"/>
    <col min="8" max="8" width="34.5703125" customWidth="1"/>
    <col min="9" max="9" width="2.42578125" customWidth="1"/>
    <col min="10" max="10" width="11.5703125" customWidth="1"/>
    <col min="11" max="11" width="17.28515625" customWidth="1"/>
    <col min="12" max="12" width="2.42578125" customWidth="1"/>
    <col min="13" max="13" width="11.5703125" customWidth="1"/>
    <col min="14" max="14" width="17.28515625" customWidth="1"/>
    <col min="15" max="15" width="2.140625" customWidth="1"/>
    <col min="16" max="16" width="11.5703125" customWidth="1"/>
    <col min="17" max="17" width="17.28515625" customWidth="1"/>
    <col min="18" max="18" width="2.140625" customWidth="1"/>
    <col min="19" max="19" width="11.5703125" customWidth="1"/>
    <col min="20" max="20" width="17.28515625" customWidth="1"/>
  </cols>
  <sheetData>
    <row r="2" spans="2:20" ht="21" x14ac:dyDescent="0.35">
      <c r="B2" s="15" t="s">
        <v>49</v>
      </c>
      <c r="J2" s="109" t="s">
        <v>50</v>
      </c>
      <c r="K2" s="109"/>
      <c r="L2" s="109"/>
      <c r="M2" s="109"/>
      <c r="N2" s="109"/>
      <c r="O2" s="109"/>
      <c r="P2" s="109"/>
      <c r="Q2" s="109"/>
      <c r="R2" s="109"/>
      <c r="S2" s="109"/>
      <c r="T2" s="109"/>
    </row>
    <row r="3" spans="2:20" x14ac:dyDescent="0.25">
      <c r="B3" s="44" t="s">
        <v>51</v>
      </c>
      <c r="D3" s="17" t="s">
        <v>52</v>
      </c>
      <c r="F3" s="44" t="s">
        <v>53</v>
      </c>
      <c r="H3" s="44" t="s">
        <v>97</v>
      </c>
      <c r="J3" s="108" t="s">
        <v>54</v>
      </c>
      <c r="K3" s="108"/>
      <c r="M3" s="108" t="s">
        <v>55</v>
      </c>
      <c r="N3" s="108"/>
      <c r="P3" s="108" t="s">
        <v>56</v>
      </c>
      <c r="Q3" s="108"/>
      <c r="S3" s="108" t="s">
        <v>57</v>
      </c>
      <c r="T3" s="108"/>
    </row>
    <row r="4" spans="2:20" x14ac:dyDescent="0.25">
      <c r="B4" s="46" t="s">
        <v>31</v>
      </c>
      <c r="D4" s="1" t="s">
        <v>58</v>
      </c>
      <c r="F4" s="45" t="s">
        <v>59</v>
      </c>
      <c r="H4" s="45" t="s">
        <v>59</v>
      </c>
      <c r="J4" s="11" t="s">
        <v>60</v>
      </c>
      <c r="K4" s="8">
        <f>Calculator!C13</f>
        <v>0</v>
      </c>
      <c r="M4" s="11" t="s">
        <v>60</v>
      </c>
      <c r="N4" s="8" t="str">
        <f>Calculator!G9</f>
        <v>0</v>
      </c>
      <c r="P4" s="11" t="s">
        <v>60</v>
      </c>
      <c r="Q4" s="8" t="str">
        <f>Calculator!G10</f>
        <v>0</v>
      </c>
      <c r="S4" s="11" t="s">
        <v>60</v>
      </c>
      <c r="T4" s="8" t="str">
        <f>Calculator!G11</f>
        <v/>
      </c>
    </row>
    <row r="5" spans="2:20" x14ac:dyDescent="0.25">
      <c r="B5" s="46" t="s">
        <v>61</v>
      </c>
      <c r="D5" s="1" t="s">
        <v>62</v>
      </c>
      <c r="F5" s="46" t="s">
        <v>63</v>
      </c>
      <c r="H5" s="18" t="s">
        <v>64</v>
      </c>
      <c r="J5" s="11" t="s">
        <v>65</v>
      </c>
      <c r="K5" s="1">
        <f>Calculator!C15</f>
        <v>0</v>
      </c>
      <c r="M5" s="11" t="s">
        <v>65</v>
      </c>
      <c r="N5" s="1">
        <f>Calculator!C15</f>
        <v>0</v>
      </c>
      <c r="P5" s="11" t="s">
        <v>65</v>
      </c>
      <c r="Q5" s="1">
        <f>Calculator!C15</f>
        <v>0</v>
      </c>
      <c r="S5" s="11" t="s">
        <v>65</v>
      </c>
      <c r="T5" s="1">
        <f>Calculator!C15</f>
        <v>0</v>
      </c>
    </row>
    <row r="6" spans="2:20" x14ac:dyDescent="0.25">
      <c r="B6" s="46" t="s">
        <v>66</v>
      </c>
      <c r="F6" s="46" t="s">
        <v>64</v>
      </c>
      <c r="J6" s="11" t="s">
        <v>67</v>
      </c>
      <c r="K6" s="1">
        <f>K5/12</f>
        <v>0</v>
      </c>
      <c r="M6" s="11" t="s">
        <v>67</v>
      </c>
      <c r="N6" s="1">
        <f>N5/12</f>
        <v>0</v>
      </c>
      <c r="P6" s="11" t="s">
        <v>67</v>
      </c>
      <c r="Q6" s="1">
        <f>Q5/12</f>
        <v>0</v>
      </c>
      <c r="S6" s="11" t="s">
        <v>67</v>
      </c>
      <c r="T6" s="1">
        <f>T5/12</f>
        <v>0</v>
      </c>
    </row>
    <row r="7" spans="2:20" x14ac:dyDescent="0.25">
      <c r="B7" s="46" t="s">
        <v>91</v>
      </c>
      <c r="D7" s="17" t="s">
        <v>68</v>
      </c>
      <c r="F7" s="46" t="s">
        <v>69</v>
      </c>
      <c r="H7" s="44" t="s">
        <v>98</v>
      </c>
      <c r="J7" s="11" t="s">
        <v>70</v>
      </c>
      <c r="K7" s="1">
        <v>12</v>
      </c>
      <c r="M7" s="11" t="s">
        <v>70</v>
      </c>
      <c r="N7" s="1">
        <v>12</v>
      </c>
      <c r="P7" s="11" t="s">
        <v>70</v>
      </c>
      <c r="Q7" s="1">
        <v>12</v>
      </c>
      <c r="S7" s="11" t="s">
        <v>70</v>
      </c>
      <c r="T7" s="1">
        <v>12</v>
      </c>
    </row>
    <row r="8" spans="2:20" x14ac:dyDescent="0.25">
      <c r="B8" s="46" t="s">
        <v>93</v>
      </c>
      <c r="D8" s="1" t="s">
        <v>71</v>
      </c>
      <c r="F8" s="18" t="s">
        <v>72</v>
      </c>
      <c r="H8" s="45" t="s">
        <v>59</v>
      </c>
      <c r="J8" s="11" t="s">
        <v>73</v>
      </c>
      <c r="K8" s="1">
        <f>K4/K7</f>
        <v>0</v>
      </c>
      <c r="M8" s="11" t="s">
        <v>73</v>
      </c>
      <c r="N8" s="1">
        <f>N4/N7</f>
        <v>0</v>
      </c>
      <c r="P8" s="11" t="s">
        <v>73</v>
      </c>
      <c r="Q8" s="1">
        <f>Q4/Q7</f>
        <v>0</v>
      </c>
      <c r="S8" s="11" t="s">
        <v>73</v>
      </c>
      <c r="T8" s="1" t="e">
        <f>T4/T7</f>
        <v>#VALUE!</v>
      </c>
    </row>
    <row r="9" spans="2:20" x14ac:dyDescent="0.25">
      <c r="B9" s="46" t="s">
        <v>94</v>
      </c>
      <c r="D9" s="1" t="s">
        <v>74</v>
      </c>
      <c r="H9" s="18" t="s">
        <v>64</v>
      </c>
      <c r="J9" s="11" t="s">
        <v>75</v>
      </c>
      <c r="K9" s="7">
        <f>Calculator!$C$9+Calculator!$C$14</f>
        <v>0</v>
      </c>
      <c r="M9" s="11" t="s">
        <v>75</v>
      </c>
      <c r="N9" s="7">
        <f>Calculator!$C$9+Calculator!$C$14</f>
        <v>0</v>
      </c>
      <c r="P9" s="11" t="s">
        <v>75</v>
      </c>
      <c r="Q9" s="7">
        <f>Calculator!$C$9+Calculator!$C$14</f>
        <v>0</v>
      </c>
      <c r="S9" s="11" t="s">
        <v>75</v>
      </c>
      <c r="T9" s="7">
        <f>Calculator!$C$9+Calculator!$C$14</f>
        <v>0</v>
      </c>
    </row>
    <row r="10" spans="2:20" x14ac:dyDescent="0.25">
      <c r="B10" s="46" t="s">
        <v>95</v>
      </c>
      <c r="F10" s="44" t="s">
        <v>76</v>
      </c>
      <c r="J10" s="11" t="s">
        <v>77</v>
      </c>
      <c r="K10" s="10">
        <f>IFERROR((-PMT(K8,K5,K9,0)),0)</f>
        <v>0</v>
      </c>
      <c r="L10" s="16"/>
      <c r="M10" s="11" t="s">
        <v>77</v>
      </c>
      <c r="N10" s="10">
        <f>IFERROR((-PMT(N8,N5,N9,0)),0)</f>
        <v>0</v>
      </c>
      <c r="O10" s="16"/>
      <c r="P10" s="11" t="s">
        <v>77</v>
      </c>
      <c r="Q10" s="10">
        <f>IFERROR((-PMT(Q8,Q5,Q9,0)),0)</f>
        <v>0</v>
      </c>
      <c r="S10" s="11" t="s">
        <v>77</v>
      </c>
      <c r="T10" s="10">
        <f>IFERROR((-PMT(T8,T5,T9,0)),0)</f>
        <v>0</v>
      </c>
    </row>
    <row r="11" spans="2:20" x14ac:dyDescent="0.25">
      <c r="B11" s="46" t="s">
        <v>96</v>
      </c>
      <c r="F11" s="45" t="s">
        <v>59</v>
      </c>
      <c r="H11" s="44" t="s">
        <v>99</v>
      </c>
      <c r="J11" s="42"/>
      <c r="K11" s="43"/>
      <c r="M11" s="42"/>
      <c r="N11" s="43"/>
      <c r="P11" s="42"/>
      <c r="Q11" s="43"/>
      <c r="S11" s="42"/>
      <c r="T11" s="43"/>
    </row>
    <row r="12" spans="2:20" x14ac:dyDescent="0.25">
      <c r="B12" s="46" t="s">
        <v>78</v>
      </c>
      <c r="F12" s="46" t="s">
        <v>63</v>
      </c>
      <c r="G12" s="9"/>
      <c r="H12" s="45" t="s">
        <v>59</v>
      </c>
      <c r="I12" s="9"/>
    </row>
    <row r="13" spans="2:20" x14ac:dyDescent="0.25">
      <c r="B13" s="46" t="s">
        <v>33</v>
      </c>
      <c r="F13" s="46" t="s">
        <v>64</v>
      </c>
      <c r="H13" s="18" t="s">
        <v>64</v>
      </c>
    </row>
    <row r="14" spans="2:20" x14ac:dyDescent="0.25">
      <c r="F14" s="46" t="s">
        <v>69</v>
      </c>
    </row>
    <row r="15" spans="2:20" x14ac:dyDescent="0.25">
      <c r="B15" s="56" t="s">
        <v>79</v>
      </c>
      <c r="F15" s="18" t="s">
        <v>72</v>
      </c>
      <c r="H15" s="44" t="s">
        <v>100</v>
      </c>
    </row>
    <row r="16" spans="2:20" x14ac:dyDescent="0.25">
      <c r="B16" s="16" t="s">
        <v>102</v>
      </c>
      <c r="H16" s="45" t="s">
        <v>59</v>
      </c>
    </row>
    <row r="17" spans="2:8" x14ac:dyDescent="0.25">
      <c r="B17" s="46" t="s">
        <v>80</v>
      </c>
      <c r="F17" s="44" t="s">
        <v>83</v>
      </c>
      <c r="H17" s="18" t="s">
        <v>64</v>
      </c>
    </row>
    <row r="18" spans="2:8" x14ac:dyDescent="0.25">
      <c r="B18" s="46" t="s">
        <v>81</v>
      </c>
      <c r="F18" s="45" t="s">
        <v>59</v>
      </c>
    </row>
    <row r="19" spans="2:8" x14ac:dyDescent="0.25">
      <c r="B19" s="46" t="s">
        <v>82</v>
      </c>
      <c r="F19" s="46" t="s">
        <v>63</v>
      </c>
    </row>
    <row r="20" spans="2:8" x14ac:dyDescent="0.25">
      <c r="B20" s="18" t="s">
        <v>84</v>
      </c>
      <c r="F20" s="46" t="s">
        <v>64</v>
      </c>
    </row>
    <row r="21" spans="2:8" x14ac:dyDescent="0.25">
      <c r="B21" s="110"/>
      <c r="F21" s="46" t="s">
        <v>69</v>
      </c>
    </row>
    <row r="22" spans="2:8" x14ac:dyDescent="0.25">
      <c r="B22" s="56" t="s">
        <v>104</v>
      </c>
      <c r="F22" s="18" t="s">
        <v>72</v>
      </c>
    </row>
    <row r="23" spans="2:8" x14ac:dyDescent="0.25">
      <c r="B23" s="46" t="s">
        <v>61</v>
      </c>
    </row>
    <row r="24" spans="2:8" x14ac:dyDescent="0.25">
      <c r="B24" s="46" t="s">
        <v>66</v>
      </c>
      <c r="F24" s="44" t="s">
        <v>86</v>
      </c>
    </row>
    <row r="25" spans="2:8" x14ac:dyDescent="0.25">
      <c r="B25" s="46" t="s">
        <v>78</v>
      </c>
      <c r="F25" s="45" t="s">
        <v>59</v>
      </c>
    </row>
    <row r="26" spans="2:8" x14ac:dyDescent="0.25">
      <c r="B26" s="55"/>
      <c r="F26" s="46" t="s">
        <v>63</v>
      </c>
    </row>
    <row r="27" spans="2:8" x14ac:dyDescent="0.25">
      <c r="B27" s="56" t="s">
        <v>85</v>
      </c>
      <c r="F27" s="46" t="s">
        <v>64</v>
      </c>
    </row>
    <row r="28" spans="2:8" x14ac:dyDescent="0.25">
      <c r="B28" s="46" t="s">
        <v>31</v>
      </c>
      <c r="F28" s="46" t="s">
        <v>69</v>
      </c>
    </row>
    <row r="29" spans="2:8" x14ac:dyDescent="0.25">
      <c r="B29" s="46" t="s">
        <v>61</v>
      </c>
      <c r="F29" s="18" t="s">
        <v>72</v>
      </c>
    </row>
    <row r="30" spans="2:8" x14ac:dyDescent="0.25">
      <c r="B30" s="46" t="s">
        <v>66</v>
      </c>
    </row>
    <row r="31" spans="2:8" x14ac:dyDescent="0.25">
      <c r="B31" s="46" t="s">
        <v>91</v>
      </c>
      <c r="F31" s="44" t="s">
        <v>88</v>
      </c>
    </row>
    <row r="32" spans="2:8" x14ac:dyDescent="0.25">
      <c r="B32" s="46" t="s">
        <v>93</v>
      </c>
      <c r="F32" s="45" t="s">
        <v>59</v>
      </c>
    </row>
    <row r="33" spans="2:6" x14ac:dyDescent="0.25">
      <c r="B33" s="46" t="s">
        <v>94</v>
      </c>
      <c r="F33" s="46" t="s">
        <v>63</v>
      </c>
    </row>
    <row r="34" spans="2:6" x14ac:dyDescent="0.25">
      <c r="B34" s="46" t="s">
        <v>95</v>
      </c>
      <c r="F34" s="46" t="s">
        <v>64</v>
      </c>
    </row>
    <row r="35" spans="2:6" x14ac:dyDescent="0.25">
      <c r="B35" s="46" t="s">
        <v>96</v>
      </c>
      <c r="F35" s="46" t="s">
        <v>69</v>
      </c>
    </row>
    <row r="36" spans="2:6" x14ac:dyDescent="0.25">
      <c r="B36" s="46" t="s">
        <v>78</v>
      </c>
    </row>
    <row r="37" spans="2:6" x14ac:dyDescent="0.25">
      <c r="B37" s="18" t="s">
        <v>33</v>
      </c>
      <c r="F37" s="44" t="s">
        <v>92</v>
      </c>
    </row>
    <row r="38" spans="2:6" x14ac:dyDescent="0.25">
      <c r="B38" s="55"/>
      <c r="F38" s="45" t="s">
        <v>59</v>
      </c>
    </row>
    <row r="39" spans="2:6" x14ac:dyDescent="0.25">
      <c r="B39" s="56" t="s">
        <v>87</v>
      </c>
      <c r="F39" s="46" t="s">
        <v>64</v>
      </c>
    </row>
    <row r="40" spans="2:6" x14ac:dyDescent="0.25">
      <c r="B40" s="46" t="s">
        <v>31</v>
      </c>
    </row>
    <row r="41" spans="2:6" x14ac:dyDescent="0.25">
      <c r="B41" s="46" t="s">
        <v>61</v>
      </c>
    </row>
    <row r="42" spans="2:6" x14ac:dyDescent="0.25">
      <c r="B42" s="46" t="s">
        <v>66</v>
      </c>
    </row>
    <row r="43" spans="2:6" x14ac:dyDescent="0.25">
      <c r="B43" s="46" t="s">
        <v>91</v>
      </c>
    </row>
    <row r="44" spans="2:6" x14ac:dyDescent="0.25">
      <c r="B44" s="46" t="s">
        <v>93</v>
      </c>
    </row>
    <row r="45" spans="2:6" x14ac:dyDescent="0.25">
      <c r="B45" s="46" t="s">
        <v>94</v>
      </c>
    </row>
    <row r="46" spans="2:6" x14ac:dyDescent="0.25">
      <c r="B46" s="46" t="s">
        <v>95</v>
      </c>
    </row>
    <row r="47" spans="2:6" x14ac:dyDescent="0.25">
      <c r="B47" s="46" t="s">
        <v>96</v>
      </c>
    </row>
    <row r="48" spans="2:6" x14ac:dyDescent="0.25">
      <c r="B48" s="46" t="s">
        <v>78</v>
      </c>
    </row>
    <row r="49" spans="2:2" x14ac:dyDescent="0.25">
      <c r="B49" s="18" t="s">
        <v>33</v>
      </c>
    </row>
    <row r="51" spans="2:2" x14ac:dyDescent="0.25">
      <c r="B51" s="56" t="s">
        <v>89</v>
      </c>
    </row>
    <row r="52" spans="2:2" x14ac:dyDescent="0.25">
      <c r="B52" s="46" t="s">
        <v>31</v>
      </c>
    </row>
    <row r="53" spans="2:2" x14ac:dyDescent="0.25">
      <c r="B53" s="46" t="s">
        <v>61</v>
      </c>
    </row>
    <row r="54" spans="2:2" x14ac:dyDescent="0.25">
      <c r="B54" s="46" t="s">
        <v>66</v>
      </c>
    </row>
    <row r="55" spans="2:2" x14ac:dyDescent="0.25">
      <c r="B55" s="46" t="s">
        <v>91</v>
      </c>
    </row>
    <row r="56" spans="2:2" x14ac:dyDescent="0.25">
      <c r="B56" s="46" t="s">
        <v>93</v>
      </c>
    </row>
    <row r="57" spans="2:2" x14ac:dyDescent="0.25">
      <c r="B57" s="46" t="s">
        <v>94</v>
      </c>
    </row>
    <row r="58" spans="2:2" x14ac:dyDescent="0.25">
      <c r="B58" s="46" t="s">
        <v>95</v>
      </c>
    </row>
    <row r="59" spans="2:2" x14ac:dyDescent="0.25">
      <c r="B59" s="46" t="s">
        <v>96</v>
      </c>
    </row>
    <row r="60" spans="2:2" x14ac:dyDescent="0.25">
      <c r="B60" s="46" t="s">
        <v>78</v>
      </c>
    </row>
    <row r="61" spans="2:2" x14ac:dyDescent="0.25">
      <c r="B61" s="18" t="s">
        <v>33</v>
      </c>
    </row>
    <row r="63" spans="2:2" x14ac:dyDescent="0.25">
      <c r="B63" s="56" t="s">
        <v>90</v>
      </c>
    </row>
    <row r="64" spans="2:2" x14ac:dyDescent="0.25">
      <c r="B64" s="46" t="s">
        <v>31</v>
      </c>
    </row>
    <row r="65" spans="2:2" x14ac:dyDescent="0.25">
      <c r="B65" s="46" t="s">
        <v>61</v>
      </c>
    </row>
    <row r="66" spans="2:2" x14ac:dyDescent="0.25">
      <c r="B66" s="46" t="s">
        <v>66</v>
      </c>
    </row>
    <row r="67" spans="2:2" x14ac:dyDescent="0.25">
      <c r="B67" s="46" t="s">
        <v>91</v>
      </c>
    </row>
    <row r="68" spans="2:2" x14ac:dyDescent="0.25">
      <c r="B68" s="46" t="s">
        <v>93</v>
      </c>
    </row>
    <row r="69" spans="2:2" x14ac:dyDescent="0.25">
      <c r="B69" s="46" t="s">
        <v>94</v>
      </c>
    </row>
    <row r="70" spans="2:2" x14ac:dyDescent="0.25">
      <c r="B70" s="46" t="s">
        <v>95</v>
      </c>
    </row>
    <row r="71" spans="2:2" x14ac:dyDescent="0.25">
      <c r="B71" s="46" t="s">
        <v>96</v>
      </c>
    </row>
    <row r="72" spans="2:2" x14ac:dyDescent="0.25">
      <c r="B72" s="46" t="s">
        <v>78</v>
      </c>
    </row>
    <row r="73" spans="2:2" x14ac:dyDescent="0.25">
      <c r="B73" s="18" t="s">
        <v>33</v>
      </c>
    </row>
    <row r="74" spans="2:2" x14ac:dyDescent="0.25">
      <c r="B74" s="55"/>
    </row>
  </sheetData>
  <sheetProtection selectLockedCells="1"/>
  <mergeCells count="5">
    <mergeCell ref="J3:K3"/>
    <mergeCell ref="M3:N3"/>
    <mergeCell ref="P3:Q3"/>
    <mergeCell ref="S3:T3"/>
    <mergeCell ref="J2:T2"/>
  </mergeCells>
  <pageMargins left="0.7" right="0.7" top="0.75" bottom="0.75" header="0.3" footer="0.3"/>
  <tableParts count="17">
    <tablePart r:id="rId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Category xmlns="5de4a34a-d77d-49c7-a580-1d94c0dd8f0c">Temporary Buydowns</Category>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CC3E6010DAD34384D7D45EF7696B58" ma:contentTypeVersion="12" ma:contentTypeDescription="Create a new document." ma:contentTypeScope="" ma:versionID="86aa6110eb1c742abf48d34588f19f74">
  <xsd:schema xmlns:xsd="http://www.w3.org/2001/XMLSchema" xmlns:xs="http://www.w3.org/2001/XMLSchema" xmlns:p="http://schemas.microsoft.com/office/2006/metadata/properties" xmlns:ns2="5de4a34a-d77d-49c7-a580-1d94c0dd8f0c" targetNamespace="http://schemas.microsoft.com/office/2006/metadata/properties" ma:root="true" ma:fieldsID="3e11e06904db659af444ea6b8dc2682e" ns2:_="">
    <xsd:import namespace="5de4a34a-d77d-49c7-a580-1d94c0dd8f0c"/>
    <xsd:element name="properties">
      <xsd:complexType>
        <xsd:sequence>
          <xsd:element name="documentManagement">
            <xsd:complexType>
              <xsd:all>
                <xsd:element ref="ns2:Category" minOccurs="0"/>
                <xsd:element ref="ns2:MediaServiceMetadata" minOccurs="0"/>
                <xsd:element ref="ns2: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de4a34a-d77d-49c7-a580-1d94c0dd8f0c" elementFormDefault="qualified">
    <xsd:import namespace="http://schemas.microsoft.com/office/2006/documentManagement/types"/>
    <xsd:import namespace="http://schemas.microsoft.com/office/infopath/2007/PartnerControls"/>
    <xsd:element name="Category" ma:index="4" nillable="true" ma:displayName="Category" ma:format="Dropdown" ma:internalName="Category" ma:readOnly="false">
      <xsd:simpleType>
        <xsd:union memberTypes="dms:Text">
          <xsd:simpleType>
            <xsd:restriction base="dms:Choice">
              <xsd:enumeration value="Account Coordinator"/>
              <xsd:enumeration value="Assets"/>
              <xsd:enumeration value="Closing"/>
              <xsd:enumeration value="Compliance"/>
              <xsd:enumeration value="Credit"/>
              <xsd:enumeration value="DataVerify"/>
              <xsd:enumeration value="Disclosure Specialists"/>
              <xsd:enumeration value="Document Expiration Dates"/>
              <xsd:enumeration value="Emerging Banker"/>
              <xsd:enumeration value="Employment"/>
              <xsd:enumeration value="Expiration Dates"/>
              <xsd:enumeration value="FEMA Disaster Declaration"/>
              <xsd:enumeration value="Income"/>
              <xsd:enumeration value="Insurance"/>
              <xsd:enumeration value="IRS Form 4506"/>
              <xsd:enumeration value="Loan Set Up"/>
              <xsd:enumeration value="MERS"/>
              <xsd:enumeration value="Power of Attorney"/>
              <xsd:enumeration value="Processing"/>
              <xsd:enumeration value="Refinances"/>
              <xsd:enumeration value="Servicing"/>
              <xsd:enumeration value="Social Security Discrepancy"/>
              <xsd:enumeration value="State Specific"/>
              <xsd:enumeration value="Submission"/>
              <xsd:enumeration value="Underwriting"/>
              <xsd:enumeration value="VA"/>
              <xsd:enumeration value="Verification of Employment"/>
              <xsd:enumeration value="Visa Eligibility"/>
              <xsd:enumeration value="Workflow"/>
            </xsd:restriction>
          </xsd:simpleType>
        </xsd:un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C50E6D2-3D9F-47D5-BE1A-1FAFFA5E51BF}">
  <ds:schemaRefs>
    <ds:schemaRef ds:uri="http://schemas.microsoft.com/sharepoint/v3/contenttype/forms"/>
  </ds:schemaRefs>
</ds:datastoreItem>
</file>

<file path=customXml/itemProps2.xml><?xml version="1.0" encoding="utf-8"?>
<ds:datastoreItem xmlns:ds="http://schemas.openxmlformats.org/officeDocument/2006/customXml" ds:itemID="{726A31B0-DC5F-4A42-9416-2F06ACA75B72}">
  <ds:schemaRefs>
    <ds:schemaRef ds:uri="http://schemas.microsoft.com/office/2006/documentManagement/types"/>
    <ds:schemaRef ds:uri="http://purl.org/dc/terms/"/>
    <ds:schemaRef ds:uri="http://purl.org/dc/elements/1.1/"/>
    <ds:schemaRef ds:uri="5de4a34a-d77d-49c7-a580-1d94c0dd8f0c"/>
    <ds:schemaRef ds:uri="http://schemas.microsoft.com/office/infopath/2007/PartnerControls"/>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692B3E09-F925-46DA-8B34-16F6A06838C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de4a34a-d77d-49c7-a580-1d94c0dd8f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24</vt:i4>
      </vt:variant>
    </vt:vector>
  </HeadingPairs>
  <TitlesOfParts>
    <vt:vector size="27" baseType="lpstr">
      <vt:lpstr>Calculator</vt:lpstr>
      <vt:lpstr>Max Contribution Calc</vt:lpstr>
      <vt:lpstr>Hidden Data</vt:lpstr>
      <vt:lpstr>Buydown</vt:lpstr>
      <vt:lpstr>Buydowns</vt:lpstr>
      <vt:lpstr>FHA</vt:lpstr>
      <vt:lpstr>FHLMC</vt:lpstr>
      <vt:lpstr>FNMA</vt:lpstr>
      <vt:lpstr>JumboElite</vt:lpstr>
      <vt:lpstr>Lender</vt:lpstr>
      <vt:lpstr>ListingAgent</vt:lpstr>
      <vt:lpstr>Program</vt:lpstr>
      <vt:lpstr>Programs</vt:lpstr>
      <vt:lpstr>SAOptions</vt:lpstr>
      <vt:lpstr>Seller</vt:lpstr>
      <vt:lpstr>Seller_List</vt:lpstr>
      <vt:lpstr>SellingAgent</vt:lpstr>
      <vt:lpstr>Simple_Access_PL_Only</vt:lpstr>
      <vt:lpstr>SimpleAccess_1099</vt:lpstr>
      <vt:lpstr>SimpleAccess_BankStatements</vt:lpstr>
      <vt:lpstr>SimpleAccess_FullDoc</vt:lpstr>
      <vt:lpstr>SimpleAccess_PL_Only</vt:lpstr>
      <vt:lpstr>SimpleAcess_PL_Only</vt:lpstr>
      <vt:lpstr>Subsidy_Source</vt:lpstr>
      <vt:lpstr>SubsidySource</vt:lpstr>
      <vt:lpstr>USDA</vt:lpstr>
      <vt:lpstr>VA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Temp Buydown Calculator</dc:title>
  <dc:subject/>
  <dc:creator>Kerrin Paul</dc:creator>
  <cp:keywords/>
  <dc:description/>
  <cp:lastModifiedBy>Kerrin Paul</cp:lastModifiedBy>
  <cp:revision/>
  <dcterms:created xsi:type="dcterms:W3CDTF">2022-08-04T19:14:42Z</dcterms:created>
  <dcterms:modified xsi:type="dcterms:W3CDTF">2025-01-28T17:17:19Z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0x010100C8CC3E6010DAD34384D7D45EF7696B58</vt:lpwstr>
  </property>
</Properties>
</file>